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es institucionales y comunicacion\6. WEB\Bloc 4_Accionistes i inversors\Fotos y documentos\4.4.1 Informes trimestrales\4T\"/>
    </mc:Choice>
  </mc:AlternateContent>
  <xr:revisionPtr revIDLastSave="0" documentId="8_{5A5946ED-8034-4237-ADE7-4FDA2A7DE24E}" xr6:coauthVersionLast="46" xr6:coauthVersionMax="46" xr10:uidLastSave="{00000000-0000-0000-0000-000000000000}"/>
  <bookViews>
    <workbookView xWindow="-110" yWindow="-110" windowWidth="19420" windowHeight="10420" tabRatio="735" activeTab="6" xr2:uid="{00000000-000D-0000-FFFF-FFFF00000000}"/>
  </bookViews>
  <sheets>
    <sheet name="Resultados" sheetId="72" r:id="rId1"/>
    <sheet name="Resultados divisiones" sheetId="84" r:id="rId2"/>
    <sheet name="Mercados" sheetId="13" r:id="rId3"/>
    <sheet name="Efecto dólar" sheetId="33" r:id="rId4"/>
    <sheet name="Compras" sheetId="18" r:id="rId5"/>
    <sheet name="Costes" sheetId="85" r:id="rId6"/>
    <sheet name="Personal" sheetId="66" r:id="rId7"/>
    <sheet name="Balance" sheetId="19" r:id="rId8"/>
    <sheet name="Ratios " sheetId="57" r:id="rId9"/>
    <sheet name="Precios 18" sheetId="29" state="hidden" r:id="rId10"/>
    <sheet name="Paises 18" sheetId="65" state="hidden" r:id="rId11"/>
    <sheet name="Paises 17" sheetId="32" state="hidden" r:id="rId12"/>
    <sheet name="Precios" sheetId="10" state="hidden" r:id="rId13"/>
    <sheet name="PLANTILLA ACUMULADA J.C.E. 0,15" sheetId="42" state="hidden" r:id="rId14"/>
  </sheets>
  <definedNames>
    <definedName name="_xlnm._FilterDatabase" localSheetId="11" hidden="1">'Paises 17'!$A$1:$J$158</definedName>
    <definedName name="_xlnm._FilterDatabase" localSheetId="10" hidden="1">'Paises 18'!$A$1:$O$173</definedName>
    <definedName name="_xlnm.Print_Area" localSheetId="7">Balance!$B$2:$J$23</definedName>
    <definedName name="_xlnm.Print_Area" localSheetId="4">Compras!$B$4:$J$23</definedName>
    <definedName name="_xlnm.Print_Area" localSheetId="5">Costes!$B$2:$H$35</definedName>
    <definedName name="_xlnm.Print_Area" localSheetId="3">'Efecto dólar'!$B$6:$AA$37</definedName>
    <definedName name="_xlnm.Print_Area" localSheetId="2">Mercados!$C$3:$R$32</definedName>
    <definedName name="_xlnm.Print_Area" localSheetId="11">'Paises 17'!$A$1:$K$158</definedName>
    <definedName name="_xlnm.Print_Area" localSheetId="10">'Paises 18'!$A$1:$P$160</definedName>
    <definedName name="_xlnm.Print_Area" localSheetId="13">'PLANTILLA ACUMULADA J.C.E. 0,15'!$A$1:$O$238</definedName>
    <definedName name="_xlnm.Print_Area" localSheetId="9">'Precios 18'!$B$3:$K$98</definedName>
    <definedName name="_xlnm.Print_Area" localSheetId="8">'Ratios '!$B$4:$F$28</definedName>
    <definedName name="_xlnm.Print_Area" localSheetId="0">Resultados!$A$1:$E$32</definedName>
    <definedName name="_xlnm.Print_Titles" localSheetId="11">'Paises 17'!$1:$2</definedName>
    <definedName name="_xlnm.Print_Titles" localSheetId="10">'Paises 18'!$1:$2</definedName>
    <definedName name="Z_107C1929_9F7A_495F_BF25_41D2FF7209C5_.wvu.PrintTitles" localSheetId="11" hidden="1">'Paises 17'!$1:$2</definedName>
    <definedName name="Z_107C1929_9F7A_495F_BF25_41D2FF7209C5_.wvu.PrintTitles" localSheetId="10" hidden="1">'Paises 18'!$1:$2</definedName>
    <definedName name="Z_1136E482_A73B_4AC8_8342_0F3FB5146462_.wvu.PrintTitles" localSheetId="11" hidden="1">'Paises 17'!$1:$2</definedName>
    <definedName name="Z_1136E482_A73B_4AC8_8342_0F3FB5146462_.wvu.PrintTitles" localSheetId="10" hidden="1">'Paises 18'!$1:$2</definedName>
    <definedName name="Z_6D99041F_C053_4D06_BDC8_5A5C5057C76A_.wvu.PrintTitles" localSheetId="11" hidden="1">'Paises 17'!$1:$2</definedName>
    <definedName name="Z_6D99041F_C053_4D06_BDC8_5A5C5057C76A_.wvu.PrintTitles" localSheetId="10" hidden="1">'Paises 18'!$1:$2</definedName>
    <definedName name="Z_7DF64BCE_01A4_4AAC_AC3A_5DA43896524F_.wvu.PrintTitles" localSheetId="11" hidden="1">'Paises 17'!$1:$2</definedName>
    <definedName name="Z_7DF64BCE_01A4_4AAC_AC3A_5DA43896524F_.wvu.PrintTitles" localSheetId="10" hidden="1">'Paises 18'!$1:$2</definedName>
    <definedName name="Z_981249E2_4030_4112_8130_C7A3F37B4E2E_.wvu.PrintTitles" localSheetId="11" hidden="1">'Paises 17'!$1:$2</definedName>
    <definedName name="Z_981249E2_4030_4112_8130_C7A3F37B4E2E_.wvu.PrintTitles" localSheetId="10" hidden="1">'Paises 18'!$1:$2</definedName>
    <definedName name="Z_986691D6_F2E4_44FE_AFBD_892B89731958_.wvu.PrintTitles" localSheetId="11" hidden="1">'Paises 17'!$1:$2</definedName>
    <definedName name="Z_986691D6_F2E4_44FE_AFBD_892B89731958_.wvu.PrintTitles" localSheetId="10" hidden="1">'Paises 18'!$1:$2</definedName>
    <definedName name="Z_ACAD36E0_C89B_498B_B1D4_CDD1457C34D6_.wvu.PrintTitles" localSheetId="11" hidden="1">'Paises 17'!$1:$2</definedName>
    <definedName name="Z_ACAD36E0_C89B_498B_B1D4_CDD1457C34D6_.wvu.PrintTitles" localSheetId="10" hidden="1">'Paises 18'!$1:$2</definedName>
    <definedName name="Z_EC012C50_5117_4D1A_A5F2_5AF4189C0F7E_.wvu.PrintTitles" localSheetId="11" hidden="1">'Paises 17'!$1:$2</definedName>
    <definedName name="Z_EC012C50_5117_4D1A_A5F2_5AF4189C0F7E_.wvu.PrintTitles" localSheetId="10" hidden="1">'Paises 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66" l="1"/>
  <c r="T18" i="66"/>
  <c r="T16" i="66"/>
  <c r="T15" i="66"/>
  <c r="T14" i="66"/>
  <c r="T13" i="66"/>
  <c r="T12" i="66"/>
  <c r="T11" i="66"/>
  <c r="T10" i="66"/>
  <c r="Q16" i="66"/>
  <c r="Q15" i="66"/>
  <c r="Q14" i="66"/>
  <c r="Q13" i="66"/>
  <c r="Q12" i="66"/>
  <c r="Q11" i="66"/>
  <c r="Q10" i="66"/>
  <c r="T9" i="66"/>
  <c r="Q9" i="66"/>
  <c r="K18" i="66"/>
  <c r="H18" i="66"/>
  <c r="K16" i="66"/>
  <c r="K15" i="66"/>
  <c r="K14" i="66"/>
  <c r="K13" i="66"/>
  <c r="K12" i="66"/>
  <c r="K11" i="66"/>
  <c r="K10" i="66"/>
  <c r="H16" i="66"/>
  <c r="H15" i="66"/>
  <c r="H14" i="66"/>
  <c r="H13" i="66"/>
  <c r="H12" i="66"/>
  <c r="H11" i="66"/>
  <c r="H10" i="66"/>
  <c r="K9" i="66"/>
  <c r="H9" i="66"/>
  <c r="N16" i="66"/>
  <c r="N15" i="66"/>
  <c r="N14" i="66"/>
  <c r="N13" i="66"/>
  <c r="N12" i="66"/>
  <c r="N11" i="66"/>
  <c r="N10" i="66"/>
  <c r="N9" i="66"/>
  <c r="E16" i="66"/>
  <c r="E15" i="66"/>
  <c r="E14" i="66"/>
  <c r="E13" i="66"/>
  <c r="E12" i="66"/>
  <c r="E11" i="66"/>
  <c r="E10" i="66"/>
  <c r="E9" i="66"/>
  <c r="D18" i="66"/>
  <c r="D14" i="85"/>
  <c r="D23" i="19" l="1"/>
  <c r="D7" i="19" l="1"/>
  <c r="D11" i="19" s="1"/>
  <c r="D6" i="72"/>
  <c r="D14" i="72"/>
  <c r="J16" i="72"/>
  <c r="T10" i="33" l="1"/>
  <c r="T11" i="33"/>
  <c r="T9" i="33"/>
  <c r="Q13" i="33"/>
  <c r="P13" i="33"/>
  <c r="M13" i="33"/>
  <c r="N13" i="33" s="1"/>
  <c r="I13" i="33"/>
  <c r="H13" i="33"/>
  <c r="H32" i="72"/>
  <c r="H28" i="72"/>
  <c r="H36" i="72"/>
  <c r="F23" i="72"/>
  <c r="F27" i="72" s="1"/>
  <c r="F31" i="72" s="1"/>
  <c r="F34" i="72" s="1"/>
  <c r="J12" i="72"/>
  <c r="H12" i="72"/>
  <c r="U25" i="84"/>
  <c r="U24" i="84"/>
  <c r="U23" i="84"/>
  <c r="U16" i="84"/>
  <c r="U13" i="84"/>
  <c r="U12" i="84"/>
  <c r="U11" i="84"/>
  <c r="U9" i="84"/>
  <c r="Q15" i="84"/>
  <c r="Q18" i="84" s="1"/>
  <c r="M20" i="84"/>
  <c r="M15" i="84"/>
  <c r="M18" i="84" s="1"/>
  <c r="I20" i="84"/>
  <c r="I15" i="84"/>
  <c r="I18" i="84" s="1"/>
  <c r="E20" i="84"/>
  <c r="E15" i="84"/>
  <c r="E18" i="84" s="1"/>
  <c r="V14" i="13"/>
  <c r="V13" i="13"/>
  <c r="V12" i="13"/>
  <c r="V8" i="13"/>
  <c r="P10" i="13"/>
  <c r="P16" i="13" s="1"/>
  <c r="K10" i="13"/>
  <c r="K16" i="13" s="1"/>
  <c r="F10" i="13"/>
  <c r="J9" i="33"/>
  <c r="J10" i="33"/>
  <c r="J11" i="33"/>
  <c r="V10" i="13" l="1"/>
  <c r="U15" i="84"/>
  <c r="U18" i="84" s="1"/>
  <c r="U20" i="84"/>
  <c r="F14" i="18"/>
  <c r="F8" i="18"/>
  <c r="F6" i="18" s="1"/>
  <c r="F10" i="85"/>
  <c r="F6" i="85"/>
  <c r="F23" i="19"/>
  <c r="F21" i="19"/>
  <c r="F18" i="19"/>
  <c r="F17" i="85" l="1"/>
  <c r="F16" i="18"/>
  <c r="V16" i="84"/>
  <c r="R16" i="84" l="1"/>
  <c r="D20" i="84"/>
  <c r="P15" i="84"/>
  <c r="P18" i="84" s="1"/>
  <c r="L15" i="84"/>
  <c r="L18" i="84" s="1"/>
  <c r="N18" i="84" s="1"/>
  <c r="H15" i="84"/>
  <c r="H18" i="84" s="1"/>
  <c r="D15" i="84"/>
  <c r="D18" i="84" s="1"/>
  <c r="T9" i="84"/>
  <c r="T13" i="84" l="1"/>
  <c r="T12" i="84"/>
  <c r="V12" i="84" s="1"/>
  <c r="T11" i="84"/>
  <c r="N12" i="84"/>
  <c r="J12" i="84"/>
  <c r="F12" i="84"/>
  <c r="T15" i="84" l="1"/>
  <c r="T18" i="84" s="1"/>
  <c r="T20" i="84"/>
  <c r="T25" i="84"/>
  <c r="T24" i="84"/>
  <c r="T23" i="84"/>
  <c r="T14" i="13" l="1"/>
  <c r="T13" i="13"/>
  <c r="T12" i="13"/>
  <c r="T8" i="13"/>
  <c r="D10" i="13"/>
  <c r="D8" i="18" l="1"/>
  <c r="D6" i="18" s="1"/>
  <c r="R13" i="33" s="1"/>
  <c r="D6" i="85"/>
  <c r="D21" i="19"/>
  <c r="H21" i="19" s="1"/>
  <c r="V24" i="84" l="1"/>
  <c r="V23" i="84"/>
  <c r="D18" i="19"/>
  <c r="E31" i="72"/>
  <c r="E34" i="72" s="1"/>
  <c r="G31" i="72"/>
  <c r="G34" i="72" s="1"/>
  <c r="I31" i="72"/>
  <c r="I34" i="72" s="1"/>
  <c r="D23" i="72"/>
  <c r="D27" i="72" s="1"/>
  <c r="J24" i="72"/>
  <c r="H24" i="72"/>
  <c r="J10" i="72"/>
  <c r="H10" i="72"/>
  <c r="J6" i="72"/>
  <c r="D31" i="72" l="1"/>
  <c r="H27" i="72"/>
  <c r="F21" i="33"/>
  <c r="F20" i="33"/>
  <c r="J36" i="72"/>
  <c r="D34" i="72" l="1"/>
  <c r="H34" i="72" s="1"/>
  <c r="H31" i="72"/>
  <c r="F16" i="13"/>
  <c r="V16" i="13" s="1"/>
  <c r="D10" i="85"/>
  <c r="D17" i="85" s="1"/>
  <c r="D14" i="18"/>
  <c r="L20" i="84"/>
  <c r="N20" i="84" s="1"/>
  <c r="H20" i="84"/>
  <c r="F20" i="84"/>
  <c r="N25" i="84"/>
  <c r="N24" i="84"/>
  <c r="N23" i="84"/>
  <c r="J25" i="84"/>
  <c r="J24" i="84"/>
  <c r="J23" i="84"/>
  <c r="F25" i="84"/>
  <c r="F24" i="84"/>
  <c r="F23" i="84"/>
  <c r="J20" i="84" l="1"/>
  <c r="J14" i="18"/>
  <c r="J15" i="85"/>
  <c r="H15" i="85"/>
  <c r="J14" i="85"/>
  <c r="H14" i="85"/>
  <c r="J12" i="85"/>
  <c r="H12" i="85"/>
  <c r="J11" i="85"/>
  <c r="H11" i="85"/>
  <c r="J8" i="85"/>
  <c r="H8" i="85"/>
  <c r="J7" i="85"/>
  <c r="J10" i="85" l="1"/>
  <c r="H7" i="85"/>
  <c r="H10" i="85"/>
  <c r="J6" i="85" l="1"/>
  <c r="H6" i="85"/>
  <c r="H17" i="85" l="1"/>
  <c r="J17" i="85"/>
  <c r="R24" i="84" l="1"/>
  <c r="R23" i="84"/>
  <c r="N15" i="84"/>
  <c r="J15" i="84"/>
  <c r="F15" i="84"/>
  <c r="N11" i="84"/>
  <c r="J11" i="84"/>
  <c r="F11" i="84"/>
  <c r="N9" i="84"/>
  <c r="J9" i="84"/>
  <c r="F9" i="84"/>
  <c r="J32" i="72"/>
  <c r="J29" i="72"/>
  <c r="H29" i="72"/>
  <c r="J28" i="72"/>
  <c r="J20" i="72"/>
  <c r="H20" i="72"/>
  <c r="J19" i="72"/>
  <c r="H19" i="72"/>
  <c r="J17" i="72"/>
  <c r="H17" i="72"/>
  <c r="J15" i="72"/>
  <c r="H15" i="72"/>
  <c r="J11" i="72"/>
  <c r="H11" i="72"/>
  <c r="J9" i="72"/>
  <c r="H9" i="72"/>
  <c r="J8" i="72"/>
  <c r="H8" i="72"/>
  <c r="J7" i="72"/>
  <c r="H7" i="72"/>
  <c r="V18" i="84" l="1"/>
  <c r="V25" i="84"/>
  <c r="V11" i="84"/>
  <c r="V9" i="84"/>
  <c r="V20" i="84"/>
  <c r="R15" i="84"/>
  <c r="F18" i="84"/>
  <c r="R11" i="84"/>
  <c r="H14" i="72"/>
  <c r="J14" i="72"/>
  <c r="H18" i="72"/>
  <c r="J18" i="72"/>
  <c r="H6" i="72"/>
  <c r="V15" i="84" l="1"/>
  <c r="J23" i="72"/>
  <c r="H23" i="72"/>
  <c r="H23" i="19"/>
  <c r="J18" i="84"/>
  <c r="R18" i="84"/>
  <c r="J27" i="72" l="1"/>
  <c r="J31" i="72" l="1"/>
  <c r="J34" i="72" s="1"/>
  <c r="C161" i="32" l="1"/>
  <c r="J42" i="29"/>
  <c r="I42" i="29"/>
  <c r="D42" i="29"/>
  <c r="C42" i="29"/>
  <c r="E42" i="29" s="1"/>
  <c r="M31" i="29"/>
  <c r="M45" i="32"/>
  <c r="C45" i="32"/>
  <c r="K27" i="32"/>
  <c r="K42" i="29" l="1"/>
  <c r="J7" i="18"/>
  <c r="J9" i="18"/>
  <c r="J10" i="18"/>
  <c r="J11" i="18"/>
  <c r="J12" i="18"/>
  <c r="H12" i="18"/>
  <c r="H11" i="18"/>
  <c r="H10" i="18"/>
  <c r="H9" i="18"/>
  <c r="H7" i="18"/>
  <c r="H8" i="18" l="1"/>
  <c r="C154" i="32"/>
  <c r="M154" i="32"/>
  <c r="K156" i="32"/>
  <c r="K153" i="32" s="1"/>
  <c r="Q12" i="13" s="1"/>
  <c r="I161" i="32"/>
  <c r="O162" i="32"/>
  <c r="R162" i="32" s="1"/>
  <c r="C163" i="32"/>
  <c r="E163" i="32"/>
  <c r="K163" i="32"/>
  <c r="M163" i="32"/>
  <c r="Q50" i="32"/>
  <c r="R105" i="32"/>
  <c r="R149" i="32"/>
  <c r="Q154" i="32"/>
  <c r="Q155" i="32"/>
  <c r="Q156" i="32"/>
  <c r="Q161" i="32"/>
  <c r="Q163" i="32" s="1"/>
  <c r="K155" i="32"/>
  <c r="E45" i="32"/>
  <c r="E156" i="32" s="1"/>
  <c r="E153" i="32" s="1"/>
  <c r="I149" i="32"/>
  <c r="O149" i="32" s="1"/>
  <c r="I148" i="32"/>
  <c r="O148" i="32" s="1"/>
  <c r="R148" i="32" s="1"/>
  <c r="I147" i="32"/>
  <c r="O147" i="32" s="1"/>
  <c r="R147" i="32" s="1"/>
  <c r="I146" i="32"/>
  <c r="O146" i="32" s="1"/>
  <c r="R146" i="32" s="1"/>
  <c r="I145" i="32"/>
  <c r="O145" i="32" s="1"/>
  <c r="R145" i="32" s="1"/>
  <c r="I144" i="32"/>
  <c r="O144" i="32" s="1"/>
  <c r="R144" i="32" s="1"/>
  <c r="I143" i="32"/>
  <c r="O143" i="32" s="1"/>
  <c r="R143" i="32" s="1"/>
  <c r="I142" i="32"/>
  <c r="O142" i="32" s="1"/>
  <c r="R142" i="32" s="1"/>
  <c r="E141" i="32"/>
  <c r="E154" i="32" s="1"/>
  <c r="I140" i="32"/>
  <c r="O140" i="32" s="1"/>
  <c r="R140" i="32" s="1"/>
  <c r="I139" i="32"/>
  <c r="O139" i="32" s="1"/>
  <c r="R139" i="32" s="1"/>
  <c r="I138" i="32"/>
  <c r="O138" i="32" s="1"/>
  <c r="R138" i="32" s="1"/>
  <c r="I137" i="32"/>
  <c r="O137" i="32" s="1"/>
  <c r="R137" i="32" s="1"/>
  <c r="I136" i="32"/>
  <c r="O136" i="32" s="1"/>
  <c r="R136" i="32" s="1"/>
  <c r="I135" i="32"/>
  <c r="O135" i="32" s="1"/>
  <c r="R135" i="32" s="1"/>
  <c r="I134" i="32"/>
  <c r="O134" i="32" s="1"/>
  <c r="R134" i="32" s="1"/>
  <c r="I133" i="32"/>
  <c r="O133" i="32" s="1"/>
  <c r="R133" i="32" s="1"/>
  <c r="I132" i="32"/>
  <c r="O132" i="32" s="1"/>
  <c r="R132" i="32" s="1"/>
  <c r="I131" i="32"/>
  <c r="O131" i="32" s="1"/>
  <c r="R131" i="32" s="1"/>
  <c r="I130" i="32"/>
  <c r="O130" i="32" s="1"/>
  <c r="R130" i="32" s="1"/>
  <c r="I129" i="32"/>
  <c r="O129" i="32" s="1"/>
  <c r="R129" i="32" s="1"/>
  <c r="I128" i="32"/>
  <c r="O128" i="32" s="1"/>
  <c r="R128" i="32" s="1"/>
  <c r="K127" i="32"/>
  <c r="E127" i="32"/>
  <c r="I127" i="32" s="1"/>
  <c r="O127" i="32" s="1"/>
  <c r="R127" i="32" s="1"/>
  <c r="I126" i="32"/>
  <c r="O126" i="32" s="1"/>
  <c r="R126" i="32" s="1"/>
  <c r="I125" i="32"/>
  <c r="O125" i="32" s="1"/>
  <c r="R125" i="32" s="1"/>
  <c r="I124" i="32"/>
  <c r="O124" i="32" s="1"/>
  <c r="R124" i="32" s="1"/>
  <c r="I123" i="32"/>
  <c r="O123" i="32" s="1"/>
  <c r="R123" i="32" s="1"/>
  <c r="I122" i="32"/>
  <c r="O122" i="32" s="1"/>
  <c r="R122" i="32" s="1"/>
  <c r="I121" i="32"/>
  <c r="O121" i="32" s="1"/>
  <c r="R121" i="32" s="1"/>
  <c r="I120" i="32"/>
  <c r="O120" i="32" s="1"/>
  <c r="R120" i="32" s="1"/>
  <c r="I119" i="32"/>
  <c r="O119" i="32" s="1"/>
  <c r="R119" i="32" s="1"/>
  <c r="I118" i="32"/>
  <c r="O118" i="32" s="1"/>
  <c r="R118" i="32" s="1"/>
  <c r="I117" i="32"/>
  <c r="O117" i="32" s="1"/>
  <c r="R117" i="32" s="1"/>
  <c r="I116" i="32"/>
  <c r="O116" i="32" s="1"/>
  <c r="R116" i="32" s="1"/>
  <c r="I115" i="32"/>
  <c r="O115" i="32" s="1"/>
  <c r="R115" i="32" s="1"/>
  <c r="I114" i="32"/>
  <c r="O114" i="32" s="1"/>
  <c r="R114" i="32" s="1"/>
  <c r="I113" i="32"/>
  <c r="O113" i="32" s="1"/>
  <c r="R113" i="32" s="1"/>
  <c r="I112" i="32"/>
  <c r="O112" i="32" s="1"/>
  <c r="R112" i="32" s="1"/>
  <c r="I111" i="32"/>
  <c r="O111" i="32" s="1"/>
  <c r="R111" i="32" s="1"/>
  <c r="E110" i="32"/>
  <c r="I110" i="32" s="1"/>
  <c r="O110" i="32" s="1"/>
  <c r="R110" i="32" s="1"/>
  <c r="I109" i="32"/>
  <c r="O109" i="32" s="1"/>
  <c r="R109" i="32" s="1"/>
  <c r="I108" i="32"/>
  <c r="O108" i="32" s="1"/>
  <c r="R108" i="32" s="1"/>
  <c r="I107" i="32"/>
  <c r="O107" i="32" s="1"/>
  <c r="R107" i="32" s="1"/>
  <c r="I106" i="32"/>
  <c r="O106" i="32" s="1"/>
  <c r="R106" i="32" s="1"/>
  <c r="I105" i="32"/>
  <c r="O105" i="32" s="1"/>
  <c r="I104" i="32"/>
  <c r="O104" i="32" s="1"/>
  <c r="R104" i="32" s="1"/>
  <c r="I103" i="32"/>
  <c r="O103" i="32" s="1"/>
  <c r="R103" i="32" s="1"/>
  <c r="I102" i="32"/>
  <c r="O102" i="32" s="1"/>
  <c r="R102" i="32" s="1"/>
  <c r="I101" i="32"/>
  <c r="O101" i="32" s="1"/>
  <c r="R101" i="32" s="1"/>
  <c r="I100" i="32"/>
  <c r="O100" i="32" s="1"/>
  <c r="R100" i="32" s="1"/>
  <c r="I99" i="32"/>
  <c r="O99" i="32" s="1"/>
  <c r="R99" i="32" s="1"/>
  <c r="I98" i="32"/>
  <c r="O98" i="32" s="1"/>
  <c r="R98" i="32" s="1"/>
  <c r="I97" i="32"/>
  <c r="O97" i="32" s="1"/>
  <c r="R97" i="32" s="1"/>
  <c r="I96" i="32"/>
  <c r="O96" i="32" s="1"/>
  <c r="R96" i="32" s="1"/>
  <c r="I95" i="32"/>
  <c r="O95" i="32" s="1"/>
  <c r="R95" i="32" s="1"/>
  <c r="E94" i="32"/>
  <c r="I94" i="32" s="1"/>
  <c r="O94" i="32" s="1"/>
  <c r="R94" i="32" s="1"/>
  <c r="I93" i="32"/>
  <c r="O93" i="32" s="1"/>
  <c r="R93" i="32" s="1"/>
  <c r="I92" i="32"/>
  <c r="O92" i="32" s="1"/>
  <c r="R92" i="32" s="1"/>
  <c r="I91" i="32"/>
  <c r="O91" i="32" s="1"/>
  <c r="R91" i="32" s="1"/>
  <c r="I90" i="32"/>
  <c r="O90" i="32" s="1"/>
  <c r="R90" i="32" s="1"/>
  <c r="I89" i="32"/>
  <c r="O89" i="32" s="1"/>
  <c r="R89" i="32" s="1"/>
  <c r="I88" i="32"/>
  <c r="O88" i="32" s="1"/>
  <c r="R88" i="32" s="1"/>
  <c r="I87" i="32"/>
  <c r="O87" i="32" s="1"/>
  <c r="R87" i="32" s="1"/>
  <c r="I86" i="32"/>
  <c r="O86" i="32" s="1"/>
  <c r="R86" i="32" s="1"/>
  <c r="I85" i="32"/>
  <c r="O85" i="32" s="1"/>
  <c r="R85" i="32" s="1"/>
  <c r="O84" i="32"/>
  <c r="R84" i="32" s="1"/>
  <c r="I84" i="32"/>
  <c r="C83" i="32"/>
  <c r="I83" i="32" s="1"/>
  <c r="O83" i="32" s="1"/>
  <c r="R83" i="32" s="1"/>
  <c r="I82" i="32"/>
  <c r="O82" i="32" s="1"/>
  <c r="R82" i="32" s="1"/>
  <c r="I81" i="32"/>
  <c r="O81" i="32" s="1"/>
  <c r="R81" i="32" s="1"/>
  <c r="E80" i="32"/>
  <c r="I80" i="32" s="1"/>
  <c r="O80" i="32" s="1"/>
  <c r="R80" i="32" s="1"/>
  <c r="I79" i="32"/>
  <c r="O79" i="32" s="1"/>
  <c r="R79" i="32" s="1"/>
  <c r="I78" i="32"/>
  <c r="O78" i="32" s="1"/>
  <c r="R78" i="32" s="1"/>
  <c r="I77" i="32"/>
  <c r="O77" i="32" s="1"/>
  <c r="R77" i="32" s="1"/>
  <c r="I76" i="32"/>
  <c r="O76" i="32" s="1"/>
  <c r="R76" i="32" s="1"/>
  <c r="K75" i="32"/>
  <c r="K154" i="32" s="1"/>
  <c r="I75" i="32"/>
  <c r="I74" i="32"/>
  <c r="O74" i="32" s="1"/>
  <c r="R74" i="32" s="1"/>
  <c r="E73" i="32"/>
  <c r="I73" i="32" s="1"/>
  <c r="O73" i="32" s="1"/>
  <c r="R73" i="32" s="1"/>
  <c r="C72" i="32"/>
  <c r="C155" i="32" s="1"/>
  <c r="I71" i="32"/>
  <c r="O71" i="32" s="1"/>
  <c r="R71" i="32" s="1"/>
  <c r="I70" i="32"/>
  <c r="O70" i="32" s="1"/>
  <c r="R70" i="32" s="1"/>
  <c r="I69" i="32"/>
  <c r="O69" i="32" s="1"/>
  <c r="R69" i="32" s="1"/>
  <c r="I68" i="32"/>
  <c r="O68" i="32" s="1"/>
  <c r="R68" i="32" s="1"/>
  <c r="I67" i="32"/>
  <c r="O67" i="32" s="1"/>
  <c r="R67" i="32" s="1"/>
  <c r="I66" i="32"/>
  <c r="O66" i="32" s="1"/>
  <c r="R66" i="32" s="1"/>
  <c r="M65" i="32"/>
  <c r="M155" i="32" s="1"/>
  <c r="I65" i="32"/>
  <c r="I64" i="32"/>
  <c r="O64" i="32" s="1"/>
  <c r="R64" i="32" s="1"/>
  <c r="O63" i="32"/>
  <c r="R63" i="32" s="1"/>
  <c r="I63" i="32"/>
  <c r="I62" i="32"/>
  <c r="O62" i="32" s="1"/>
  <c r="R62" i="32" s="1"/>
  <c r="I61" i="32"/>
  <c r="O61" i="32" s="1"/>
  <c r="R61" i="32" s="1"/>
  <c r="I60" i="32"/>
  <c r="O60" i="32" s="1"/>
  <c r="R60" i="32" s="1"/>
  <c r="I59" i="32"/>
  <c r="O59" i="32" s="1"/>
  <c r="R59" i="32" s="1"/>
  <c r="I58" i="32"/>
  <c r="O58" i="32" s="1"/>
  <c r="R58" i="32" s="1"/>
  <c r="I57" i="32"/>
  <c r="O57" i="32" s="1"/>
  <c r="R57" i="32" s="1"/>
  <c r="I56" i="32"/>
  <c r="O56" i="32" s="1"/>
  <c r="R56" i="32" s="1"/>
  <c r="I55" i="32"/>
  <c r="O55" i="32" s="1"/>
  <c r="R55" i="32" s="1"/>
  <c r="E54" i="32"/>
  <c r="I54" i="32" s="1"/>
  <c r="O54" i="32" s="1"/>
  <c r="R54" i="32" s="1"/>
  <c r="I53" i="32"/>
  <c r="O53" i="32" s="1"/>
  <c r="R53" i="32" s="1"/>
  <c r="I52" i="32"/>
  <c r="O52" i="32" s="1"/>
  <c r="R52" i="32" s="1"/>
  <c r="I51" i="32"/>
  <c r="O51" i="32" s="1"/>
  <c r="R51" i="32" s="1"/>
  <c r="E50" i="32"/>
  <c r="I49" i="32"/>
  <c r="O49" i="32" s="1"/>
  <c r="R49" i="32" s="1"/>
  <c r="O48" i="32"/>
  <c r="R48" i="32" s="1"/>
  <c r="I48" i="32"/>
  <c r="I47" i="32"/>
  <c r="O47" i="32" s="1"/>
  <c r="R47" i="32" s="1"/>
  <c r="I46" i="32"/>
  <c r="O46" i="32" s="1"/>
  <c r="R46" i="32" s="1"/>
  <c r="I44" i="32"/>
  <c r="O44" i="32" s="1"/>
  <c r="R44" i="32" s="1"/>
  <c r="I43" i="32"/>
  <c r="O43" i="32" s="1"/>
  <c r="R43" i="32" s="1"/>
  <c r="I42" i="32"/>
  <c r="O42" i="32" s="1"/>
  <c r="R42" i="32" s="1"/>
  <c r="I41" i="32"/>
  <c r="O41" i="32" s="1"/>
  <c r="R41" i="32" s="1"/>
  <c r="O40" i="32"/>
  <c r="R40" i="32" s="1"/>
  <c r="I40" i="32"/>
  <c r="I39" i="32"/>
  <c r="O39" i="32" s="1"/>
  <c r="R39" i="32" s="1"/>
  <c r="I38" i="32"/>
  <c r="O38" i="32" s="1"/>
  <c r="R38" i="32" s="1"/>
  <c r="I37" i="32"/>
  <c r="O37" i="32" s="1"/>
  <c r="R37" i="32" s="1"/>
  <c r="I36" i="32"/>
  <c r="O36" i="32" s="1"/>
  <c r="R36" i="32" s="1"/>
  <c r="I35" i="32"/>
  <c r="O35" i="32" s="1"/>
  <c r="R35" i="32" s="1"/>
  <c r="I34" i="32"/>
  <c r="O34" i="32" s="1"/>
  <c r="R34" i="32" s="1"/>
  <c r="I33" i="32"/>
  <c r="O33" i="32" s="1"/>
  <c r="R33" i="32" s="1"/>
  <c r="I32" i="32"/>
  <c r="O32" i="32" s="1"/>
  <c r="R32" i="32" s="1"/>
  <c r="I31" i="32"/>
  <c r="O31" i="32" s="1"/>
  <c r="R31" i="32" s="1"/>
  <c r="I30" i="32"/>
  <c r="O30" i="32" s="1"/>
  <c r="R30" i="32" s="1"/>
  <c r="I29" i="32"/>
  <c r="O29" i="32" s="1"/>
  <c r="R29" i="32" s="1"/>
  <c r="I28" i="32"/>
  <c r="O28" i="32" s="1"/>
  <c r="R28" i="32" s="1"/>
  <c r="I27" i="32"/>
  <c r="I26" i="32"/>
  <c r="O26" i="32" s="1"/>
  <c r="R26" i="32" s="1"/>
  <c r="I25" i="32"/>
  <c r="O25" i="32" s="1"/>
  <c r="R25" i="32" s="1"/>
  <c r="I24" i="32"/>
  <c r="O24" i="32" s="1"/>
  <c r="R24" i="32" s="1"/>
  <c r="I23" i="32"/>
  <c r="O23" i="32" s="1"/>
  <c r="R23" i="32" s="1"/>
  <c r="I22" i="32"/>
  <c r="O22" i="32" s="1"/>
  <c r="R22" i="32" s="1"/>
  <c r="I21" i="32"/>
  <c r="O21" i="32" s="1"/>
  <c r="R21" i="32" s="1"/>
  <c r="I20" i="32"/>
  <c r="O20" i="32" s="1"/>
  <c r="R20" i="32" s="1"/>
  <c r="I19" i="32"/>
  <c r="O19" i="32" s="1"/>
  <c r="R19" i="32" s="1"/>
  <c r="I18" i="32"/>
  <c r="O18" i="32" s="1"/>
  <c r="R18" i="32" s="1"/>
  <c r="I17" i="32"/>
  <c r="O17" i="32" s="1"/>
  <c r="R17" i="32" s="1"/>
  <c r="I16" i="32"/>
  <c r="O16" i="32" s="1"/>
  <c r="R16" i="32" s="1"/>
  <c r="I15" i="32"/>
  <c r="O15" i="32" s="1"/>
  <c r="R15" i="32" s="1"/>
  <c r="E14" i="32"/>
  <c r="I14" i="32" s="1"/>
  <c r="O14" i="32" s="1"/>
  <c r="R14" i="32" s="1"/>
  <c r="I13" i="32"/>
  <c r="O13" i="32" s="1"/>
  <c r="R13" i="32" s="1"/>
  <c r="I12" i="32"/>
  <c r="O12" i="32" s="1"/>
  <c r="R12" i="32" s="1"/>
  <c r="I11" i="32"/>
  <c r="O11" i="32" s="1"/>
  <c r="R11" i="32" s="1"/>
  <c r="I10" i="32"/>
  <c r="O10" i="32" s="1"/>
  <c r="R10" i="32" s="1"/>
  <c r="I9" i="32"/>
  <c r="I8" i="32"/>
  <c r="O8" i="32" s="1"/>
  <c r="R8" i="32" s="1"/>
  <c r="I7" i="32"/>
  <c r="O7" i="32" s="1"/>
  <c r="R7" i="32" s="1"/>
  <c r="E6" i="32"/>
  <c r="E155" i="32" s="1"/>
  <c r="I5" i="32"/>
  <c r="O5" i="32" s="1"/>
  <c r="R5" i="32" s="1"/>
  <c r="I4" i="32"/>
  <c r="K3" i="32"/>
  <c r="E3" i="32"/>
  <c r="I3" i="32" s="1"/>
  <c r="J51" i="65"/>
  <c r="J46" i="65"/>
  <c r="H28" i="65"/>
  <c r="K112" i="65"/>
  <c r="B46" i="65"/>
  <c r="B152" i="65" s="1"/>
  <c r="J155" i="65"/>
  <c r="J158" i="65"/>
  <c r="H157" i="65"/>
  <c r="L157" i="65" s="1"/>
  <c r="L156" i="65"/>
  <c r="D160" i="65"/>
  <c r="F163" i="65"/>
  <c r="F166" i="65" s="1"/>
  <c r="B158" i="65"/>
  <c r="F158" i="65" s="1"/>
  <c r="F160" i="65" s="1"/>
  <c r="B166" i="65"/>
  <c r="L164" i="65"/>
  <c r="L165" i="65"/>
  <c r="J166" i="65"/>
  <c r="H166" i="65"/>
  <c r="D166" i="65"/>
  <c r="L155" i="65" l="1"/>
  <c r="K158" i="32"/>
  <c r="L153" i="32" s="1"/>
  <c r="E158" i="32"/>
  <c r="O161" i="32"/>
  <c r="O163" i="32" s="1"/>
  <c r="I163" i="32"/>
  <c r="M156" i="32"/>
  <c r="C156" i="32"/>
  <c r="C153" i="32" s="1"/>
  <c r="Q153" i="32"/>
  <c r="Q158" i="32" s="1"/>
  <c r="Q165" i="32" s="1"/>
  <c r="C50" i="32"/>
  <c r="I50" i="32" s="1"/>
  <c r="O50" i="32" s="1"/>
  <c r="R50" i="32" s="1"/>
  <c r="I45" i="32"/>
  <c r="Q150" i="32"/>
  <c r="O75" i="32"/>
  <c r="R75" i="32" s="1"/>
  <c r="I141" i="32"/>
  <c r="O141" i="32" s="1"/>
  <c r="R141" i="32" s="1"/>
  <c r="I72" i="32"/>
  <c r="O72" i="32" s="1"/>
  <c r="R72" i="32" s="1"/>
  <c r="K150" i="32"/>
  <c r="I6" i="32"/>
  <c r="O6" i="32" s="1"/>
  <c r="R6" i="32" s="1"/>
  <c r="O9" i="32"/>
  <c r="O3" i="32"/>
  <c r="R3" i="32" s="1"/>
  <c r="O4" i="32"/>
  <c r="R4" i="32" s="1"/>
  <c r="O27" i="32"/>
  <c r="E150" i="32"/>
  <c r="M150" i="32"/>
  <c r="O65" i="32"/>
  <c r="R65" i="32" s="1"/>
  <c r="C150" i="32"/>
  <c r="D168" i="65"/>
  <c r="H160" i="65"/>
  <c r="I157" i="65" s="1"/>
  <c r="B160" i="65"/>
  <c r="B168" i="65" s="1"/>
  <c r="J160" i="65"/>
  <c r="J168" i="65" s="1"/>
  <c r="L158" i="65"/>
  <c r="I158" i="65"/>
  <c r="F168" i="65"/>
  <c r="L163" i="65"/>
  <c r="W12" i="13" l="1"/>
  <c r="R9" i="32"/>
  <c r="O154" i="32"/>
  <c r="I154" i="32"/>
  <c r="I155" i="32"/>
  <c r="K165" i="32"/>
  <c r="G155" i="32"/>
  <c r="G158" i="32"/>
  <c r="E165" i="32"/>
  <c r="G154" i="32"/>
  <c r="G156" i="32"/>
  <c r="C158" i="32"/>
  <c r="D153" i="32" s="1"/>
  <c r="G153" i="32"/>
  <c r="I156" i="32"/>
  <c r="L155" i="32"/>
  <c r="R27" i="32"/>
  <c r="R155" i="32" s="1"/>
  <c r="O155" i="32"/>
  <c r="M153" i="32"/>
  <c r="L12" i="13" s="1"/>
  <c r="L154" i="32"/>
  <c r="L156" i="32"/>
  <c r="L158" i="32"/>
  <c r="R154" i="32"/>
  <c r="R161" i="32"/>
  <c r="R163" i="32" s="1"/>
  <c r="I150" i="32"/>
  <c r="O45" i="32"/>
  <c r="H168" i="65"/>
  <c r="I155" i="65"/>
  <c r="I156" i="65"/>
  <c r="L160" i="65"/>
  <c r="I160" i="65"/>
  <c r="D156" i="32" l="1"/>
  <c r="M158" i="32"/>
  <c r="N153" i="32" s="1"/>
  <c r="D158" i="32"/>
  <c r="C165" i="32"/>
  <c r="D155" i="32"/>
  <c r="D154" i="32"/>
  <c r="O156" i="32"/>
  <c r="O153" i="32" s="1"/>
  <c r="I153" i="32"/>
  <c r="O150" i="32"/>
  <c r="R45" i="32"/>
  <c r="T45" i="32"/>
  <c r="L166" i="65"/>
  <c r="L168" i="65" s="1"/>
  <c r="G12" i="13" l="1"/>
  <c r="O158" i="32"/>
  <c r="P156" i="32" s="1"/>
  <c r="I158" i="32"/>
  <c r="J153" i="32" s="1"/>
  <c r="M165" i="32"/>
  <c r="N158" i="32"/>
  <c r="N154" i="32"/>
  <c r="N155" i="32"/>
  <c r="N156" i="32"/>
  <c r="R156" i="32"/>
  <c r="R150" i="32"/>
  <c r="P158" i="32" l="1"/>
  <c r="P154" i="32"/>
  <c r="O165" i="32"/>
  <c r="P155" i="32"/>
  <c r="J158" i="32"/>
  <c r="J154" i="32"/>
  <c r="J155" i="32"/>
  <c r="I165" i="32"/>
  <c r="J156" i="32"/>
  <c r="P153" i="32"/>
  <c r="R153" i="32"/>
  <c r="R158" i="32" l="1"/>
  <c r="S158" i="32" l="1"/>
  <c r="S155" i="32"/>
  <c r="S154" i="32"/>
  <c r="R165" i="32"/>
  <c r="S156" i="32"/>
  <c r="S153" i="32"/>
  <c r="H96" i="29" l="1"/>
  <c r="J95" i="29"/>
  <c r="I95" i="29"/>
  <c r="J92" i="29"/>
  <c r="K92" i="29" s="1"/>
  <c r="I92" i="29"/>
  <c r="D95" i="29"/>
  <c r="C95" i="29"/>
  <c r="D92" i="29"/>
  <c r="E92" i="29" s="1"/>
  <c r="C92" i="29"/>
  <c r="J89" i="29"/>
  <c r="K89" i="29" s="1"/>
  <c r="I89" i="29"/>
  <c r="D89" i="29"/>
  <c r="C89" i="29"/>
  <c r="J85" i="29"/>
  <c r="I85" i="29"/>
  <c r="D85" i="29"/>
  <c r="C85" i="29"/>
  <c r="H98" i="29"/>
  <c r="E84" i="29"/>
  <c r="E83" i="29"/>
  <c r="N72" i="29"/>
  <c r="N71" i="29"/>
  <c r="O72" i="29"/>
  <c r="O71" i="29"/>
  <c r="M72" i="29"/>
  <c r="M71" i="29"/>
  <c r="J74" i="29"/>
  <c r="I74" i="29"/>
  <c r="D74" i="29"/>
  <c r="C74" i="29"/>
  <c r="E74" i="29" s="1"/>
  <c r="J71" i="29"/>
  <c r="I71" i="29"/>
  <c r="D71" i="29"/>
  <c r="C71" i="29"/>
  <c r="J67" i="29"/>
  <c r="I67" i="29"/>
  <c r="D67" i="29"/>
  <c r="C67" i="29"/>
  <c r="E67" i="29" s="1"/>
  <c r="P50" i="29"/>
  <c r="P49" i="29"/>
  <c r="O50" i="29"/>
  <c r="O49" i="29"/>
  <c r="N50" i="29"/>
  <c r="N49" i="29"/>
  <c r="M50" i="29"/>
  <c r="M49" i="29"/>
  <c r="H75" i="29"/>
  <c r="H32" i="29"/>
  <c r="H58" i="29"/>
  <c r="P41" i="29"/>
  <c r="U41" i="29" s="1"/>
  <c r="P42" i="29"/>
  <c r="P40" i="29"/>
  <c r="U40" i="29" s="1"/>
  <c r="O41" i="29"/>
  <c r="T41" i="29" s="1"/>
  <c r="O42" i="29"/>
  <c r="O40" i="29"/>
  <c r="T40" i="29" s="1"/>
  <c r="N41" i="29"/>
  <c r="S41" i="29" s="1"/>
  <c r="M41" i="29"/>
  <c r="R41" i="29" s="1"/>
  <c r="J57" i="29"/>
  <c r="I57" i="29"/>
  <c r="D57" i="29"/>
  <c r="C57" i="29"/>
  <c r="J52" i="29"/>
  <c r="I52" i="29"/>
  <c r="D52" i="29"/>
  <c r="M51" i="29" s="1"/>
  <c r="C52" i="29"/>
  <c r="D44" i="29"/>
  <c r="J44" i="29"/>
  <c r="I44" i="29"/>
  <c r="C44" i="29"/>
  <c r="T42" i="29" l="1"/>
  <c r="U42" i="29" s="1"/>
  <c r="F42" i="29" s="1"/>
  <c r="E95" i="29"/>
  <c r="E85" i="29"/>
  <c r="E89" i="29"/>
  <c r="K85" i="29"/>
  <c r="K95" i="29"/>
  <c r="K52" i="29"/>
  <c r="K57" i="29"/>
  <c r="K74" i="29"/>
  <c r="E57" i="29"/>
  <c r="K71" i="29"/>
  <c r="K44" i="29"/>
  <c r="O43" i="29"/>
  <c r="P43" i="29" s="1"/>
  <c r="K67" i="29"/>
  <c r="E44" i="29"/>
  <c r="E71" i="29"/>
  <c r="E52" i="29"/>
  <c r="H152" i="65" l="1"/>
  <c r="J152" i="65"/>
  <c r="F51" i="65"/>
  <c r="F3" i="65"/>
  <c r="F4" i="65"/>
  <c r="K4" i="65" s="1"/>
  <c r="F5" i="65"/>
  <c r="F6" i="65"/>
  <c r="F7" i="65"/>
  <c r="F8" i="65"/>
  <c r="F9" i="65"/>
  <c r="K9" i="65" s="1"/>
  <c r="F10" i="65"/>
  <c r="F11" i="65"/>
  <c r="F12" i="65"/>
  <c r="F13" i="65"/>
  <c r="K13" i="65" s="1"/>
  <c r="F14" i="65"/>
  <c r="K14" i="65" s="1"/>
  <c r="F15" i="65"/>
  <c r="K15" i="65" s="1"/>
  <c r="F16" i="65"/>
  <c r="F17" i="65"/>
  <c r="F18" i="65"/>
  <c r="F19" i="65"/>
  <c r="F20" i="65"/>
  <c r="F21" i="65"/>
  <c r="F22" i="65"/>
  <c r="F23" i="65"/>
  <c r="F24" i="65"/>
  <c r="F25" i="65"/>
  <c r="F26" i="65"/>
  <c r="K26" i="65" s="1"/>
  <c r="F27" i="65"/>
  <c r="F28" i="65"/>
  <c r="F29" i="65"/>
  <c r="K29" i="65" s="1"/>
  <c r="F30" i="65"/>
  <c r="K30" i="65" s="1"/>
  <c r="F31" i="65"/>
  <c r="F32" i="65"/>
  <c r="K32" i="65" s="1"/>
  <c r="F33" i="65"/>
  <c r="K33" i="65" s="1"/>
  <c r="F34" i="65"/>
  <c r="K34" i="65" s="1"/>
  <c r="F35" i="65"/>
  <c r="F36" i="65"/>
  <c r="F37" i="65"/>
  <c r="K37" i="65" s="1"/>
  <c r="F38" i="65"/>
  <c r="F39" i="65"/>
  <c r="F40" i="65"/>
  <c r="F41" i="65"/>
  <c r="F42" i="65"/>
  <c r="F43" i="65"/>
  <c r="F44" i="65"/>
  <c r="F45" i="65"/>
  <c r="K45" i="65" s="1"/>
  <c r="D46" i="65"/>
  <c r="D152" i="65" s="1"/>
  <c r="F47" i="65"/>
  <c r="F48" i="65"/>
  <c r="K48" i="65" s="1"/>
  <c r="F49" i="65"/>
  <c r="F50" i="65"/>
  <c r="K50" i="65" s="1"/>
  <c r="F52" i="65"/>
  <c r="K52" i="65" s="1"/>
  <c r="F53" i="65"/>
  <c r="K53" i="65" s="1"/>
  <c r="F54" i="65"/>
  <c r="K54" i="65" s="1"/>
  <c r="F55" i="65"/>
  <c r="F56" i="65"/>
  <c r="K56" i="65" s="1"/>
  <c r="F57" i="65"/>
  <c r="F58" i="65"/>
  <c r="F59" i="65"/>
  <c r="F60" i="65"/>
  <c r="K60" i="65" s="1"/>
  <c r="F61" i="65"/>
  <c r="K61" i="65" s="1"/>
  <c r="F62" i="65"/>
  <c r="F63" i="65"/>
  <c r="F64" i="65"/>
  <c r="K64" i="65" s="1"/>
  <c r="F65" i="65"/>
  <c r="K65" i="65" s="1"/>
  <c r="F66" i="65"/>
  <c r="F67" i="65"/>
  <c r="F68" i="65"/>
  <c r="K68" i="65" s="1"/>
  <c r="F69" i="65"/>
  <c r="F70" i="65"/>
  <c r="F71" i="65"/>
  <c r="F72" i="65"/>
  <c r="K72" i="65" s="1"/>
  <c r="F73" i="65"/>
  <c r="F74" i="65"/>
  <c r="F75" i="65"/>
  <c r="F76" i="65"/>
  <c r="F77" i="65"/>
  <c r="K77" i="65" s="1"/>
  <c r="F78" i="65"/>
  <c r="F79" i="65"/>
  <c r="F80" i="65"/>
  <c r="F81" i="65"/>
  <c r="K81" i="65" s="1"/>
  <c r="F82" i="65"/>
  <c r="K82" i="65" s="1"/>
  <c r="F83" i="65"/>
  <c r="F84" i="65"/>
  <c r="K84" i="65" s="1"/>
  <c r="F85" i="65"/>
  <c r="F86" i="65"/>
  <c r="F87" i="65"/>
  <c r="F88" i="65"/>
  <c r="K88" i="65" s="1"/>
  <c r="F89" i="65"/>
  <c r="F90" i="65"/>
  <c r="F91" i="65"/>
  <c r="F92" i="65"/>
  <c r="K92" i="65" s="1"/>
  <c r="F93" i="65"/>
  <c r="F94" i="65"/>
  <c r="F95" i="65"/>
  <c r="F96" i="65"/>
  <c r="K96" i="65" s="1"/>
  <c r="F97" i="65"/>
  <c r="K97" i="65" s="1"/>
  <c r="F98" i="65"/>
  <c r="F99" i="65"/>
  <c r="F100" i="65"/>
  <c r="K100" i="65" s="1"/>
  <c r="F101" i="65"/>
  <c r="F102" i="65"/>
  <c r="K102" i="65" s="1"/>
  <c r="F103" i="65"/>
  <c r="F104" i="65"/>
  <c r="K104" i="65" s="1"/>
  <c r="F105" i="65"/>
  <c r="F106" i="65"/>
  <c r="K106" i="65" s="1"/>
  <c r="F107" i="65"/>
  <c r="F108" i="65"/>
  <c r="K108" i="65" s="1"/>
  <c r="F109" i="65"/>
  <c r="K109" i="65" s="1"/>
  <c r="F110" i="65"/>
  <c r="K110" i="65" s="1"/>
  <c r="F111" i="65"/>
  <c r="F113" i="65"/>
  <c r="K113" i="65" s="1"/>
  <c r="F114" i="65"/>
  <c r="K114" i="65" s="1"/>
  <c r="F115" i="65"/>
  <c r="F116" i="65"/>
  <c r="K116" i="65" s="1"/>
  <c r="F117" i="65"/>
  <c r="K117" i="65" s="1"/>
  <c r="F118" i="65"/>
  <c r="F119" i="65"/>
  <c r="F120" i="65"/>
  <c r="K120" i="65" s="1"/>
  <c r="F121" i="65"/>
  <c r="F122" i="65"/>
  <c r="F123" i="65"/>
  <c r="F124" i="65"/>
  <c r="F125" i="65"/>
  <c r="F126" i="65"/>
  <c r="F127" i="65"/>
  <c r="F128" i="65"/>
  <c r="K128" i="65" s="1"/>
  <c r="F129" i="65"/>
  <c r="F130" i="65"/>
  <c r="F131" i="65"/>
  <c r="F132" i="65"/>
  <c r="K132" i="65" s="1"/>
  <c r="F133" i="65"/>
  <c r="F134" i="65"/>
  <c r="K134" i="65" s="1"/>
  <c r="F135" i="65"/>
  <c r="F136" i="65"/>
  <c r="F137" i="65"/>
  <c r="K137" i="65" s="1"/>
  <c r="F138" i="65"/>
  <c r="K138" i="65" s="1"/>
  <c r="F139" i="65"/>
  <c r="F140" i="65"/>
  <c r="F141" i="65"/>
  <c r="K141" i="65" s="1"/>
  <c r="F142" i="65"/>
  <c r="K142" i="65" s="1"/>
  <c r="F143" i="65"/>
  <c r="F144" i="65"/>
  <c r="F145" i="65"/>
  <c r="K145" i="65" s="1"/>
  <c r="F146" i="65"/>
  <c r="K146" i="65" s="1"/>
  <c r="F147" i="65"/>
  <c r="F148" i="65"/>
  <c r="K148" i="65" s="1"/>
  <c r="F149" i="65"/>
  <c r="K149" i="65" s="1"/>
  <c r="F150" i="65"/>
  <c r="K150" i="65" s="1"/>
  <c r="F151" i="65"/>
  <c r="W14" i="13" l="1"/>
  <c r="W13" i="13"/>
  <c r="K147" i="65"/>
  <c r="L147" i="65" s="1"/>
  <c r="K123" i="65"/>
  <c r="L123" i="65" s="1"/>
  <c r="K66" i="65"/>
  <c r="L66" i="65" s="1"/>
  <c r="K49" i="65"/>
  <c r="L49" i="65" s="1"/>
  <c r="K130" i="65"/>
  <c r="L130" i="65" s="1"/>
  <c r="K126" i="65"/>
  <c r="L126" i="65" s="1"/>
  <c r="K122" i="65"/>
  <c r="L122" i="65" s="1"/>
  <c r="K118" i="65"/>
  <c r="L118" i="65" s="1"/>
  <c r="K105" i="65"/>
  <c r="L105" i="65" s="1"/>
  <c r="K101" i="65"/>
  <c r="L101" i="65" s="1"/>
  <c r="K93" i="65"/>
  <c r="L93" i="65" s="1"/>
  <c r="K89" i="65"/>
  <c r="L89" i="65" s="1"/>
  <c r="K85" i="65"/>
  <c r="L85" i="65" s="1"/>
  <c r="K73" i="65"/>
  <c r="L73" i="65" s="1"/>
  <c r="K69" i="65"/>
  <c r="L69" i="65" s="1"/>
  <c r="K57" i="65"/>
  <c r="L57" i="65" s="1"/>
  <c r="K44" i="65"/>
  <c r="L44" i="65" s="1"/>
  <c r="K40" i="65"/>
  <c r="L40" i="65" s="1"/>
  <c r="K36" i="65"/>
  <c r="L36" i="65" s="1"/>
  <c r="K28" i="65"/>
  <c r="L28" i="65" s="1"/>
  <c r="K24" i="65"/>
  <c r="L24" i="65" s="1"/>
  <c r="K20" i="65"/>
  <c r="L20" i="65" s="1"/>
  <c r="K16" i="65"/>
  <c r="L16" i="65" s="1"/>
  <c r="K12" i="65"/>
  <c r="L12" i="65" s="1"/>
  <c r="K8" i="65"/>
  <c r="L8" i="65" s="1"/>
  <c r="K151" i="65"/>
  <c r="L151" i="65" s="1"/>
  <c r="K139" i="65"/>
  <c r="L139" i="65" s="1"/>
  <c r="K135" i="65"/>
  <c r="L135" i="65" s="1"/>
  <c r="K127" i="65"/>
  <c r="L127" i="65" s="1"/>
  <c r="K119" i="65"/>
  <c r="L119" i="65" s="1"/>
  <c r="K94" i="65"/>
  <c r="L94" i="65" s="1"/>
  <c r="K86" i="65"/>
  <c r="L86" i="65" s="1"/>
  <c r="K74" i="65"/>
  <c r="L74" i="65" s="1"/>
  <c r="K62" i="65"/>
  <c r="L62" i="65" s="1"/>
  <c r="K25" i="65"/>
  <c r="L25" i="65" s="1"/>
  <c r="K21" i="65"/>
  <c r="L21" i="65" s="1"/>
  <c r="K17" i="65"/>
  <c r="L17" i="65" s="1"/>
  <c r="K5" i="65"/>
  <c r="L5" i="65" s="1"/>
  <c r="K133" i="65"/>
  <c r="L133" i="65" s="1"/>
  <c r="L129" i="65"/>
  <c r="K129" i="65"/>
  <c r="K125" i="65"/>
  <c r="L125" i="65" s="1"/>
  <c r="K121" i="65"/>
  <c r="L121" i="65" s="1"/>
  <c r="L80" i="65"/>
  <c r="K80" i="65"/>
  <c r="K76" i="65"/>
  <c r="L76" i="65" s="1"/>
  <c r="K47" i="65"/>
  <c r="L47" i="65" s="1"/>
  <c r="K43" i="65"/>
  <c r="L43" i="65" s="1"/>
  <c r="K39" i="65"/>
  <c r="L39" i="65" s="1"/>
  <c r="K35" i="65"/>
  <c r="L35" i="65" s="1"/>
  <c r="K31" i="65"/>
  <c r="L31" i="65" s="1"/>
  <c r="K27" i="65"/>
  <c r="L27" i="65" s="1"/>
  <c r="K23" i="65"/>
  <c r="L23" i="65" s="1"/>
  <c r="L19" i="65"/>
  <c r="K19" i="65"/>
  <c r="K11" i="65"/>
  <c r="L11" i="65" s="1"/>
  <c r="L7" i="65"/>
  <c r="K7" i="65"/>
  <c r="K3" i="65"/>
  <c r="K143" i="65"/>
  <c r="L143" i="65" s="1"/>
  <c r="K131" i="65"/>
  <c r="L131" i="65" s="1"/>
  <c r="K115" i="65"/>
  <c r="L115" i="65" s="1"/>
  <c r="K98" i="65"/>
  <c r="L98" i="65" s="1"/>
  <c r="K90" i="65"/>
  <c r="L90" i="65" s="1"/>
  <c r="K78" i="65"/>
  <c r="L78" i="65" s="1"/>
  <c r="K70" i="65"/>
  <c r="L70" i="65" s="1"/>
  <c r="K58" i="65"/>
  <c r="L58" i="65" s="1"/>
  <c r="K41" i="65"/>
  <c r="L41" i="65" s="1"/>
  <c r="K144" i="65"/>
  <c r="L144" i="65" s="1"/>
  <c r="K140" i="65"/>
  <c r="L140" i="65" s="1"/>
  <c r="K136" i="65"/>
  <c r="L136" i="65" s="1"/>
  <c r="K124" i="65"/>
  <c r="L124" i="65" s="1"/>
  <c r="K111" i="65"/>
  <c r="L111" i="65" s="1"/>
  <c r="K107" i="65"/>
  <c r="L107" i="65" s="1"/>
  <c r="K103" i="65"/>
  <c r="L103" i="65" s="1"/>
  <c r="K99" i="65"/>
  <c r="L99" i="65" s="1"/>
  <c r="K95" i="65"/>
  <c r="L95" i="65" s="1"/>
  <c r="K91" i="65"/>
  <c r="L91" i="65" s="1"/>
  <c r="K87" i="65"/>
  <c r="L87" i="65" s="1"/>
  <c r="K83" i="65"/>
  <c r="L83" i="65" s="1"/>
  <c r="K79" i="65"/>
  <c r="L79" i="65" s="1"/>
  <c r="K75" i="65"/>
  <c r="L75" i="65" s="1"/>
  <c r="K71" i="65"/>
  <c r="L71" i="65" s="1"/>
  <c r="K67" i="65"/>
  <c r="L67" i="65" s="1"/>
  <c r="K63" i="65"/>
  <c r="L63" i="65" s="1"/>
  <c r="K59" i="65"/>
  <c r="L59" i="65" s="1"/>
  <c r="K55" i="65"/>
  <c r="L55" i="65" s="1"/>
  <c r="K42" i="65"/>
  <c r="L42" i="65" s="1"/>
  <c r="K38" i="65"/>
  <c r="L38" i="65" s="1"/>
  <c r="K22" i="65"/>
  <c r="L22" i="65" s="1"/>
  <c r="K18" i="65"/>
  <c r="L18" i="65" s="1"/>
  <c r="K10" i="65"/>
  <c r="L10" i="65" s="1"/>
  <c r="K6" i="65"/>
  <c r="L6" i="65" s="1"/>
  <c r="K51" i="65"/>
  <c r="L51" i="65" s="1"/>
  <c r="U10" i="33"/>
  <c r="U11" i="33"/>
  <c r="L13" i="33"/>
  <c r="U9" i="33"/>
  <c r="D13" i="33"/>
  <c r="E13" i="33"/>
  <c r="L114" i="65"/>
  <c r="L106" i="65"/>
  <c r="L15" i="65"/>
  <c r="L150" i="65"/>
  <c r="L146" i="65"/>
  <c r="L142" i="65"/>
  <c r="L132" i="65"/>
  <c r="L128" i="65"/>
  <c r="L120" i="65"/>
  <c r="L117" i="65"/>
  <c r="L52" i="65"/>
  <c r="L110" i="65"/>
  <c r="L102" i="65"/>
  <c r="L138" i="65"/>
  <c r="L134" i="65"/>
  <c r="L82" i="65"/>
  <c r="L54" i="65"/>
  <c r="L50" i="65"/>
  <c r="L34" i="65"/>
  <c r="L30" i="65"/>
  <c r="L26" i="65"/>
  <c r="L14" i="65"/>
  <c r="L149" i="65"/>
  <c r="L145" i="65"/>
  <c r="L141" i="65"/>
  <c r="L137" i="65"/>
  <c r="L113" i="65"/>
  <c r="L109" i="65"/>
  <c r="L97" i="65"/>
  <c r="L81" i="65"/>
  <c r="L77" i="65"/>
  <c r="L65" i="65"/>
  <c r="L61" i="65"/>
  <c r="L53" i="65"/>
  <c r="L45" i="65"/>
  <c r="L37" i="65"/>
  <c r="L33" i="65"/>
  <c r="L29" i="65"/>
  <c r="L13" i="65"/>
  <c r="L9" i="65"/>
  <c r="L148" i="65"/>
  <c r="L116" i="65"/>
  <c r="L112" i="65"/>
  <c r="L108" i="65"/>
  <c r="L104" i="65"/>
  <c r="L100" i="65"/>
  <c r="L96" i="65"/>
  <c r="L92" i="65"/>
  <c r="L88" i="65"/>
  <c r="L84" i="65"/>
  <c r="L72" i="65"/>
  <c r="L68" i="65"/>
  <c r="L64" i="65"/>
  <c r="L60" i="65"/>
  <c r="L56" i="65"/>
  <c r="L48" i="65"/>
  <c r="F46" i="65"/>
  <c r="L4" i="65"/>
  <c r="L3" i="65" l="1"/>
  <c r="K46" i="65"/>
  <c r="K152" i="65" s="1"/>
  <c r="T13" i="33"/>
  <c r="U13" i="33"/>
  <c r="F152" i="65"/>
  <c r="L32" i="65"/>
  <c r="L46" i="65" l="1"/>
  <c r="W8" i="13"/>
  <c r="L152" i="65"/>
  <c r="I10" i="13"/>
  <c r="I16" i="13" l="1"/>
  <c r="F10" i="33" s="1"/>
  <c r="N10" i="13"/>
  <c r="T10" i="13" s="1"/>
  <c r="W10" i="13" s="1"/>
  <c r="J12" i="13" l="1"/>
  <c r="J8" i="13"/>
  <c r="J16" i="13"/>
  <c r="J14" i="13"/>
  <c r="J13" i="13"/>
  <c r="J10" i="13"/>
  <c r="N16" i="13"/>
  <c r="D16" i="13"/>
  <c r="F9" i="33" l="1"/>
  <c r="T16" i="13"/>
  <c r="O12" i="13"/>
  <c r="F11" i="33"/>
  <c r="E12" i="13"/>
  <c r="E8" i="13"/>
  <c r="O10" i="13"/>
  <c r="O14" i="13"/>
  <c r="O16" i="13"/>
  <c r="O8" i="13"/>
  <c r="O13" i="13"/>
  <c r="E14" i="13"/>
  <c r="E10" i="13"/>
  <c r="E13" i="13"/>
  <c r="E16" i="13"/>
  <c r="U14" i="13" l="1"/>
  <c r="W16" i="13"/>
  <c r="U13" i="13"/>
  <c r="U16" i="13"/>
  <c r="U10" i="13"/>
  <c r="U12" i="13"/>
  <c r="U8" i="13"/>
  <c r="H14" i="18"/>
  <c r="H7" i="19" l="1"/>
  <c r="H8" i="19"/>
  <c r="H9" i="19"/>
  <c r="H11" i="19"/>
  <c r="H14" i="19"/>
  <c r="H15" i="19"/>
  <c r="H16" i="19"/>
  <c r="H18" i="19"/>
  <c r="H6" i="19"/>
  <c r="J8" i="19"/>
  <c r="J9" i="19"/>
  <c r="J11" i="19"/>
  <c r="J14" i="19"/>
  <c r="J15" i="19"/>
  <c r="J16" i="19"/>
  <c r="J18" i="19"/>
  <c r="J6" i="19"/>
  <c r="J7" i="19"/>
  <c r="Q8" i="13" l="1"/>
  <c r="Q14" i="13"/>
  <c r="Q13" i="13"/>
  <c r="J10" i="29"/>
  <c r="I10" i="29"/>
  <c r="N9" i="29"/>
  <c r="N8" i="29"/>
  <c r="M9" i="29"/>
  <c r="M8" i="29"/>
  <c r="P9" i="29"/>
  <c r="O9" i="29"/>
  <c r="P8" i="29"/>
  <c r="O8" i="29"/>
  <c r="P93" i="29"/>
  <c r="O93" i="29"/>
  <c r="N93" i="29"/>
  <c r="M93" i="29"/>
  <c r="P92" i="29"/>
  <c r="O92" i="29"/>
  <c r="O94" i="29" s="1"/>
  <c r="N92" i="29"/>
  <c r="M92" i="29"/>
  <c r="M94" i="29" s="1"/>
  <c r="P90" i="29"/>
  <c r="O90" i="29"/>
  <c r="N90" i="29"/>
  <c r="M90" i="29"/>
  <c r="P89" i="29"/>
  <c r="O89" i="29"/>
  <c r="O91" i="29" s="1"/>
  <c r="N89" i="29"/>
  <c r="M89" i="29"/>
  <c r="M91" i="29" s="1"/>
  <c r="P87" i="29"/>
  <c r="O87" i="29"/>
  <c r="N87" i="29"/>
  <c r="M87" i="29"/>
  <c r="P86" i="29"/>
  <c r="O86" i="29"/>
  <c r="O88" i="29" s="1"/>
  <c r="N86" i="29"/>
  <c r="M86" i="29"/>
  <c r="M88" i="29" s="1"/>
  <c r="P83" i="29"/>
  <c r="P82" i="29"/>
  <c r="O83" i="29"/>
  <c r="O82" i="29"/>
  <c r="N83" i="29"/>
  <c r="N82" i="29"/>
  <c r="M83" i="29"/>
  <c r="M82" i="29"/>
  <c r="P69" i="29"/>
  <c r="O69" i="29"/>
  <c r="N69" i="29"/>
  <c r="M69" i="29"/>
  <c r="P68" i="29"/>
  <c r="O68" i="29"/>
  <c r="N68" i="29"/>
  <c r="M68" i="29"/>
  <c r="P67" i="29"/>
  <c r="G67" i="29" s="1"/>
  <c r="O67" i="29"/>
  <c r="N67" i="29"/>
  <c r="M67" i="29"/>
  <c r="P65" i="29"/>
  <c r="P63" i="29"/>
  <c r="N65" i="29"/>
  <c r="N63" i="29"/>
  <c r="O65" i="29"/>
  <c r="O63" i="29"/>
  <c r="M65" i="29"/>
  <c r="M63" i="29"/>
  <c r="M64" i="29"/>
  <c r="P64" i="29"/>
  <c r="O64" i="29"/>
  <c r="N64" i="29"/>
  <c r="P72" i="29"/>
  <c r="P71" i="29"/>
  <c r="P55" i="29"/>
  <c r="P54" i="29"/>
  <c r="O55" i="29"/>
  <c r="O54" i="29"/>
  <c r="N55" i="29"/>
  <c r="N54" i="29"/>
  <c r="M55" i="29"/>
  <c r="M54" i="29"/>
  <c r="N42" i="29"/>
  <c r="N40" i="29"/>
  <c r="S40" i="29" s="1"/>
  <c r="M42" i="29"/>
  <c r="M40" i="29"/>
  <c r="R40" i="29" s="1"/>
  <c r="M73" i="29"/>
  <c r="N73" i="29" s="1"/>
  <c r="F74" i="29" s="1"/>
  <c r="O51" i="29"/>
  <c r="P51" i="29" s="1"/>
  <c r="F52" i="29" s="1"/>
  <c r="N51" i="29"/>
  <c r="G52" i="29" s="1"/>
  <c r="M64" i="10"/>
  <c r="N64" i="10" s="1"/>
  <c r="G63" i="10" s="1"/>
  <c r="M60" i="10"/>
  <c r="N60" i="10" s="1"/>
  <c r="F63" i="10" s="1"/>
  <c r="J63" i="10"/>
  <c r="I63" i="10"/>
  <c r="C63" i="10"/>
  <c r="D63" i="10"/>
  <c r="M51" i="10"/>
  <c r="N51" i="10" s="1"/>
  <c r="G48" i="10" s="1"/>
  <c r="M47" i="10"/>
  <c r="N47" i="10" s="1"/>
  <c r="F48" i="10" s="1"/>
  <c r="J48" i="10"/>
  <c r="I48" i="10"/>
  <c r="D48" i="10"/>
  <c r="C48" i="10"/>
  <c r="M43" i="10"/>
  <c r="N43" i="10" s="1"/>
  <c r="G40" i="10" s="1"/>
  <c r="M39" i="10"/>
  <c r="N39" i="10" s="1"/>
  <c r="F40" i="10" s="1"/>
  <c r="J40" i="10"/>
  <c r="I40" i="10"/>
  <c r="D40" i="10"/>
  <c r="C40" i="10"/>
  <c r="Q87" i="10"/>
  <c r="R86" i="10"/>
  <c r="R85" i="10"/>
  <c r="R83" i="10"/>
  <c r="R82" i="10"/>
  <c r="R84" i="10" s="1"/>
  <c r="R78" i="10"/>
  <c r="R80" i="10"/>
  <c r="R79" i="10"/>
  <c r="R76" i="10"/>
  <c r="R75" i="10"/>
  <c r="N86" i="10"/>
  <c r="N85" i="10"/>
  <c r="N83" i="10"/>
  <c r="N82" i="10"/>
  <c r="N80" i="10"/>
  <c r="N79" i="10"/>
  <c r="N78" i="10"/>
  <c r="N76" i="10"/>
  <c r="N75" i="10"/>
  <c r="Q84" i="10"/>
  <c r="Q81" i="10"/>
  <c r="Q77" i="10"/>
  <c r="D105" i="10"/>
  <c r="E105" i="10" s="1"/>
  <c r="G85" i="10" s="1"/>
  <c r="B105" i="10"/>
  <c r="C105" i="10" s="1"/>
  <c r="F85" i="10" s="1"/>
  <c r="D101" i="10"/>
  <c r="E101" i="10" s="1"/>
  <c r="G82" i="10" s="1"/>
  <c r="B101" i="10"/>
  <c r="C101" i="10" s="1"/>
  <c r="F82" i="10" s="1"/>
  <c r="D97" i="10"/>
  <c r="E97" i="10"/>
  <c r="G78" i="10" s="1"/>
  <c r="D78" i="10"/>
  <c r="B97" i="10"/>
  <c r="C97" i="10" s="1"/>
  <c r="F78" i="10" s="1"/>
  <c r="D110" i="10"/>
  <c r="E110" i="10"/>
  <c r="G88" i="10" s="1"/>
  <c r="B110" i="10"/>
  <c r="C110" i="10" s="1"/>
  <c r="F88" i="10" s="1"/>
  <c r="J88" i="10"/>
  <c r="I88" i="10"/>
  <c r="J85" i="10"/>
  <c r="I85" i="10"/>
  <c r="D88" i="10"/>
  <c r="C88" i="10"/>
  <c r="E79" i="10"/>
  <c r="D85" i="10"/>
  <c r="C85" i="10"/>
  <c r="J82" i="10"/>
  <c r="I82" i="10"/>
  <c r="D82" i="10"/>
  <c r="C82" i="10"/>
  <c r="J78" i="10"/>
  <c r="I78" i="10"/>
  <c r="C78" i="10"/>
  <c r="K73" i="10"/>
  <c r="J73" i="10"/>
  <c r="I73" i="10"/>
  <c r="H73" i="10"/>
  <c r="G73" i="10"/>
  <c r="F73" i="10"/>
  <c r="E73" i="10"/>
  <c r="D73" i="10"/>
  <c r="C73" i="10"/>
  <c r="K35" i="10"/>
  <c r="J35" i="10"/>
  <c r="I35" i="10"/>
  <c r="H35" i="10"/>
  <c r="G35" i="10"/>
  <c r="F35" i="10"/>
  <c r="E35" i="10"/>
  <c r="D35" i="10"/>
  <c r="C35" i="10"/>
  <c r="K20" i="10"/>
  <c r="J20" i="10"/>
  <c r="I20" i="10"/>
  <c r="H20" i="10"/>
  <c r="G20" i="10"/>
  <c r="F20" i="10"/>
  <c r="E20" i="10"/>
  <c r="D20" i="10"/>
  <c r="C20" i="10"/>
  <c r="E14" i="10"/>
  <c r="D14" i="10"/>
  <c r="C14" i="10"/>
  <c r="K6" i="10"/>
  <c r="J6" i="10"/>
  <c r="I6" i="10"/>
  <c r="H6" i="10"/>
  <c r="G6" i="10"/>
  <c r="F6" i="10"/>
  <c r="E6" i="10"/>
  <c r="D6" i="10"/>
  <c r="C6" i="10"/>
  <c r="L8" i="13"/>
  <c r="G13" i="13"/>
  <c r="E40" i="10" l="1"/>
  <c r="E63" i="10"/>
  <c r="N84" i="10"/>
  <c r="N87" i="10"/>
  <c r="H88" i="10"/>
  <c r="J8" i="18"/>
  <c r="E88" i="10"/>
  <c r="E85" i="10"/>
  <c r="K85" i="10"/>
  <c r="R81" i="10"/>
  <c r="R87" i="10"/>
  <c r="N91" i="29"/>
  <c r="F92" i="29" s="1"/>
  <c r="O10" i="29"/>
  <c r="D10" i="29" s="1"/>
  <c r="K10" i="29"/>
  <c r="M43" i="29"/>
  <c r="H52" i="29"/>
  <c r="M56" i="29"/>
  <c r="M84" i="29"/>
  <c r="N84" i="29" s="1"/>
  <c r="F85" i="29" s="1"/>
  <c r="M66" i="29"/>
  <c r="N66" i="29" s="1"/>
  <c r="F67" i="29" s="1"/>
  <c r="H67" i="29" s="1"/>
  <c r="M70" i="29"/>
  <c r="O66" i="29"/>
  <c r="L14" i="13"/>
  <c r="L13" i="13"/>
  <c r="H40" i="10"/>
  <c r="H63" i="10"/>
  <c r="E82" i="10"/>
  <c r="N77" i="10"/>
  <c r="K48" i="10"/>
  <c r="K63" i="10"/>
  <c r="P91" i="29"/>
  <c r="O84" i="29"/>
  <c r="G14" i="13"/>
  <c r="K78" i="10"/>
  <c r="K82" i="10"/>
  <c r="M10" i="29"/>
  <c r="C10" i="29" s="1"/>
  <c r="H48" i="10"/>
  <c r="O70" i="29"/>
  <c r="P70" i="29" s="1"/>
  <c r="G71" i="29" s="1"/>
  <c r="H78" i="10"/>
  <c r="N81" i="10"/>
  <c r="E48" i="10"/>
  <c r="O56" i="29"/>
  <c r="P56" i="29" s="1"/>
  <c r="G57" i="29" s="1"/>
  <c r="O73" i="29"/>
  <c r="N70" i="29"/>
  <c r="F71" i="29" s="1"/>
  <c r="N94" i="29"/>
  <c r="F95" i="29" s="1"/>
  <c r="F44" i="29"/>
  <c r="P88" i="29"/>
  <c r="G89" i="29" s="1"/>
  <c r="K88" i="10"/>
  <c r="E78" i="10"/>
  <c r="K40" i="10"/>
  <c r="H82" i="10"/>
  <c r="H85" i="10"/>
  <c r="R77" i="10"/>
  <c r="P94" i="29"/>
  <c r="G95" i="29" s="1"/>
  <c r="N88" i="29"/>
  <c r="F89" i="29" s="1"/>
  <c r="N56" i="29"/>
  <c r="F57" i="29" s="1"/>
  <c r="N43" i="29" l="1"/>
  <c r="G44" i="29" s="1"/>
  <c r="H44" i="29" s="1"/>
  <c r="R42" i="29"/>
  <c r="S42" i="29" s="1"/>
  <c r="G42" i="29" s="1"/>
  <c r="H42" i="29" s="1"/>
  <c r="J6" i="18"/>
  <c r="D16" i="18"/>
  <c r="E10" i="29"/>
  <c r="H71" i="29"/>
  <c r="P84" i="29"/>
  <c r="G85" i="29" s="1"/>
  <c r="H6" i="18"/>
  <c r="H85" i="29"/>
  <c r="G92" i="29"/>
  <c r="H92" i="29" s="1"/>
  <c r="P10" i="29"/>
  <c r="G10" i="29" s="1"/>
  <c r="H95" i="29"/>
  <c r="H89" i="29"/>
  <c r="H57" i="29"/>
  <c r="P66" i="29"/>
  <c r="L10" i="13"/>
  <c r="N10" i="29"/>
  <c r="F10" i="29" s="1"/>
  <c r="Q10" i="13"/>
  <c r="P73" i="29"/>
  <c r="H10" i="29" l="1"/>
  <c r="G74" i="29"/>
  <c r="H74" i="29" s="1"/>
  <c r="L16" i="13"/>
  <c r="Q16" i="13"/>
  <c r="G8" i="13"/>
  <c r="G10" i="13" l="1"/>
  <c r="G16" i="13" l="1"/>
  <c r="X17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7 Francia
1 Reino Unido
</t>
        </r>
      </text>
    </comment>
    <comment ref="E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3 francia
</t>
        </r>
      </text>
    </comment>
    <comment ref="D4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E4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D4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3 Uruguay
2 Rep. Dominicana
1 Marruecos
1 Guinea_Bissau
1 Fed. Rusa
1 Argentina</t>
        </r>
      </text>
    </comment>
    <comment ref="E4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2 Uruguay
2 Rep. Dominicana
1 Marruecos
1 Guinea_Bissau
1 Fed. Rusa
1 Argentina</t>
        </r>
      </text>
    </comment>
  </commentList>
</comments>
</file>

<file path=xl/sharedStrings.xml><?xml version="1.0" encoding="utf-8"?>
<sst xmlns="http://schemas.openxmlformats.org/spreadsheetml/2006/main" count="1191" uniqueCount="662">
  <si>
    <t>Total</t>
  </si>
  <si>
    <t>FARMACIA</t>
  </si>
  <si>
    <t>Farmacia</t>
  </si>
  <si>
    <t>TOTALES</t>
  </si>
  <si>
    <t>Derivados del cloro</t>
  </si>
  <si>
    <t>ATCC</t>
  </si>
  <si>
    <t>EDC</t>
  </si>
  <si>
    <t>Química Intermedia</t>
  </si>
  <si>
    <t>Formol</t>
  </si>
  <si>
    <t>Paraformol</t>
  </si>
  <si>
    <t>Penta</t>
  </si>
  <si>
    <t>Dipenta</t>
  </si>
  <si>
    <t>Formiato</t>
  </si>
  <si>
    <t>Carbaicar</t>
  </si>
  <si>
    <t>Otros</t>
  </si>
  <si>
    <t>Ventas</t>
  </si>
  <si>
    <t>Compras</t>
  </si>
  <si>
    <t>Ejercicio</t>
  </si>
  <si>
    <t>PVC</t>
  </si>
  <si>
    <t>Sosa cáustica</t>
  </si>
  <si>
    <t>Potasas</t>
  </si>
  <si>
    <t>Polvos de moldeo</t>
  </si>
  <si>
    <t>Ácido fusídico</t>
  </si>
  <si>
    <t>Fosfomicinas</t>
  </si>
  <si>
    <t>Eritromicinas</t>
  </si>
  <si>
    <t>ACTUALIZAR</t>
  </si>
  <si>
    <t>2016 / 2015</t>
  </si>
  <si>
    <t>ENERGIA ELÉCTRICA / GAS</t>
  </si>
  <si>
    <t>NEGOCIO</t>
  </si>
  <si>
    <t>Mwh</t>
  </si>
  <si>
    <t xml:space="preserve"> € / Mwh</t>
  </si>
  <si>
    <t>Total Consumo - €</t>
  </si>
  <si>
    <t>Electricidad interrumpible QB (MWh)</t>
  </si>
  <si>
    <t>Electricidad Plásticos (MWh)</t>
  </si>
  <si>
    <t>Gas Mwh</t>
  </si>
  <si>
    <t>Tipo de Cambio Medio Euro Dólar</t>
  </si>
  <si>
    <t>COMPRAS PRINCIPALES MATERIAS PRIMAS</t>
  </si>
  <si>
    <t>PRODUCTO</t>
  </si>
  <si>
    <t>Compras en TN</t>
  </si>
  <si>
    <t>€ /TN</t>
  </si>
  <si>
    <t>Total Compras - €</t>
  </si>
  <si>
    <t>Etileno</t>
  </si>
  <si>
    <t>Metanol</t>
  </si>
  <si>
    <t>Urea</t>
  </si>
  <si>
    <t>Cloruro Potásico</t>
  </si>
  <si>
    <t>Melamina</t>
  </si>
  <si>
    <t>Fenol</t>
  </si>
  <si>
    <t>Ácido cianúrico</t>
  </si>
  <si>
    <t>VENTAS PRODUCTOS IMPORTANTES</t>
  </si>
  <si>
    <t>Ventas en TN</t>
  </si>
  <si>
    <t>Total Ventas - €</t>
  </si>
  <si>
    <t>NEGOCIOS ASOCIADOS AL CLORO</t>
  </si>
  <si>
    <t>Sosa cáustica líquida 100 %</t>
  </si>
  <si>
    <t>Sosa perlas</t>
  </si>
  <si>
    <t>Cloro gas</t>
  </si>
  <si>
    <t>Clorato Sódico</t>
  </si>
  <si>
    <t>Clorito Sódico</t>
  </si>
  <si>
    <t>Hipoclorito sódico 15-16%</t>
  </si>
  <si>
    <t>Ácido Clorhídrico 35 %</t>
  </si>
  <si>
    <t>Potasa Líquida</t>
  </si>
  <si>
    <t>Potasa Escamas</t>
  </si>
  <si>
    <t>Carbonato potásico</t>
  </si>
  <si>
    <t>PVC Suspensión</t>
  </si>
  <si>
    <t>PVC Compuestos</t>
  </si>
  <si>
    <t>Q. INTERMEDIA</t>
  </si>
  <si>
    <t>Cola y Resina UF</t>
  </si>
  <si>
    <t>Resina Fenólica</t>
  </si>
  <si>
    <t>Resina Melamina</t>
  </si>
  <si>
    <t>Minaicar</t>
  </si>
  <si>
    <t>Fosfomicinas Nacional</t>
  </si>
  <si>
    <t>Fosfomicinas Export</t>
  </si>
  <si>
    <t>Claritromicina</t>
  </si>
  <si>
    <t>Fusídico Nacional</t>
  </si>
  <si>
    <t xml:space="preserve">Fusídico Export. </t>
  </si>
  <si>
    <t>Eritromicinas Nacional</t>
  </si>
  <si>
    <t xml:space="preserve">Eritromicinas Export. </t>
  </si>
  <si>
    <t>Azitromicina Nacional</t>
  </si>
  <si>
    <t xml:space="preserve">Azitromicina Export. </t>
  </si>
  <si>
    <t>Fosfomicinas total</t>
  </si>
  <si>
    <t>Fusídico total</t>
  </si>
  <si>
    <t>Eritromicinas total</t>
  </si>
  <si>
    <t>Azitromicina total</t>
  </si>
  <si>
    <t>Azitromicina</t>
  </si>
  <si>
    <t>Electricidad</t>
  </si>
  <si>
    <t>Resto</t>
  </si>
  <si>
    <t>Aprovisionamientos</t>
  </si>
  <si>
    <t>Suministros</t>
  </si>
  <si>
    <t>Electricidad total</t>
  </si>
  <si>
    <t xml:space="preserve">Farmacia </t>
  </si>
  <si>
    <t>Ercros Francia + Ercekol</t>
  </si>
  <si>
    <t>Total Consolidado</t>
  </si>
  <si>
    <t>Alemania</t>
  </si>
  <si>
    <t>Arabia Saudi</t>
  </si>
  <si>
    <t>Argelia</t>
  </si>
  <si>
    <t>Argentina</t>
  </si>
  <si>
    <t>Australia</t>
  </si>
  <si>
    <t>Austria</t>
  </si>
  <si>
    <t>Bangladesh</t>
  </si>
  <si>
    <t>Bahrein</t>
  </si>
  <si>
    <t>Barbados</t>
  </si>
  <si>
    <t>Bélgica</t>
  </si>
  <si>
    <t>Bielorrusia</t>
  </si>
  <si>
    <t>Brasil</t>
  </si>
  <si>
    <t>Brunei Darussai</t>
  </si>
  <si>
    <t>Bulgaria</t>
  </si>
  <si>
    <t>Burkina Faso</t>
  </si>
  <si>
    <t>Cabo verde</t>
  </si>
  <si>
    <t>Camerún</t>
  </si>
  <si>
    <t>Canadá</t>
  </si>
  <si>
    <t>Chile</t>
  </si>
  <si>
    <t>China</t>
  </si>
  <si>
    <t>Chipre</t>
  </si>
  <si>
    <t>Colombia</t>
  </si>
  <si>
    <t>Corea</t>
  </si>
  <si>
    <t>Costa de Marfil</t>
  </si>
  <si>
    <t>Costa Rica</t>
  </si>
  <si>
    <t>Croacia</t>
  </si>
  <si>
    <t>Dinamarca</t>
  </si>
  <si>
    <t>E A U</t>
  </si>
  <si>
    <t>Ecuador</t>
  </si>
  <si>
    <t>EEUU</t>
  </si>
  <si>
    <t>Egipto</t>
  </si>
  <si>
    <t>El Salvador</t>
  </si>
  <si>
    <t>Eslovaquia</t>
  </si>
  <si>
    <t>España</t>
  </si>
  <si>
    <t>Etiopia</t>
  </si>
  <si>
    <t>Federación Rusa</t>
  </si>
  <si>
    <t>Filipinas</t>
  </si>
  <si>
    <t>Finlandia</t>
  </si>
  <si>
    <t>Francia</t>
  </si>
  <si>
    <t>Ghana</t>
  </si>
  <si>
    <t>Grecia</t>
  </si>
  <si>
    <t>Guatemala</t>
  </si>
  <si>
    <t>Guinea Ecuatoriana</t>
  </si>
  <si>
    <t>Haiti</t>
  </si>
  <si>
    <t>Hong Kong</t>
  </si>
  <si>
    <t>Holanda</t>
  </si>
  <si>
    <t>Hungría</t>
  </si>
  <si>
    <t>Indonesia</t>
  </si>
  <si>
    <t>India</t>
  </si>
  <si>
    <t>Iran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</si>
  <si>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</si>
  <si>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</si>
  <si>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</si>
  <si>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</si>
  <si>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</si>
  <si>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</si>
  <si>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</si>
  <si>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</si>
  <si>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Luxemburgo</t>
  </si>
  <si>
    <t>Letonia</t>
  </si>
  <si>
    <t>Lituania</t>
  </si>
  <si>
    <t>Líbano</t>
  </si>
  <si>
    <t>Madagascar</t>
  </si>
  <si>
    <t>Malasia</t>
  </si>
  <si>
    <t>Mali</t>
  </si>
  <si>
    <t>Malta</t>
  </si>
  <si>
    <t>Marruecos</t>
  </si>
  <si>
    <t>Méjico</t>
  </si>
  <si>
    <t>Nigeria</t>
  </si>
  <si>
    <t>Noruega</t>
  </si>
  <si>
    <t>Nueva Zelanda</t>
  </si>
  <si>
    <t>Omán</t>
  </si>
  <si>
    <t>Palestina</t>
  </si>
  <si>
    <t>Pakistán</t>
  </si>
  <si>
    <t>Paraguay</t>
  </si>
  <si>
    <t>Perú</t>
  </si>
  <si>
    <t>Polonia</t>
  </si>
  <si>
    <t>Portugal</t>
  </si>
  <si>
    <t>Reino Unido</t>
  </si>
  <si>
    <t>Rep.Checa</t>
  </si>
  <si>
    <t>Rep.Dominicana</t>
  </si>
  <si>
    <t>R.D.Congo</t>
  </si>
  <si>
    <t>Reunión</t>
  </si>
  <si>
    <t>Rumania</t>
  </si>
  <si>
    <t>San Marino</t>
  </si>
  <si>
    <t>Senegal</t>
  </si>
  <si>
    <t>Serbia</t>
  </si>
  <si>
    <t>Singapur</t>
  </si>
  <si>
    <t>Siria</t>
  </si>
  <si>
    <t>Sri Lanka</t>
  </si>
  <si>
    <t>Sudáfrica</t>
  </si>
  <si>
    <t>Suecia</t>
  </si>
  <si>
    <t>Suiza</t>
  </si>
  <si>
    <t>Surinam</t>
  </si>
  <si>
    <t>Taiwan-Formosa</t>
  </si>
  <si>
    <t>Thailandia</t>
  </si>
  <si>
    <t>Túnez</t>
  </si>
  <si>
    <t>Turquía</t>
  </si>
  <si>
    <t>Ucrania</t>
  </si>
  <si>
    <t>Uruguay</t>
  </si>
  <si>
    <t>Venezuela</t>
  </si>
  <si>
    <t>Vietnam</t>
  </si>
  <si>
    <t>Yemen</t>
  </si>
  <si>
    <t>U.E.</t>
  </si>
  <si>
    <t>O.C.D.E.</t>
  </si>
  <si>
    <t>Exterior</t>
  </si>
  <si>
    <t xml:space="preserve">Suministros totales </t>
  </si>
  <si>
    <t>Gas y vapor</t>
  </si>
  <si>
    <t xml:space="preserve">Agua </t>
  </si>
  <si>
    <t>Margen A&amp;S</t>
  </si>
  <si>
    <t>Aprovisionamientos y suministros</t>
  </si>
  <si>
    <t>División de química intermedia</t>
  </si>
  <si>
    <t>División de farmacia</t>
  </si>
  <si>
    <t>Amortizaciones</t>
  </si>
  <si>
    <t>Ebit</t>
  </si>
  <si>
    <t>Resultado financiero</t>
  </si>
  <si>
    <t>Resultado antes de impuestos</t>
  </si>
  <si>
    <t>Resultado del ejercicio</t>
  </si>
  <si>
    <t>Activos</t>
  </si>
  <si>
    <t>Pasivos</t>
  </si>
  <si>
    <t>Inversiones en inmovilizado</t>
  </si>
  <si>
    <t>Cifra de negocios</t>
  </si>
  <si>
    <t>División de derivados del cloro</t>
  </si>
  <si>
    <t>Activos no corrientes</t>
  </si>
  <si>
    <t>Capital circulante</t>
  </si>
  <si>
    <t>Pasivos corrientes</t>
  </si>
  <si>
    <t>Recursos empleados</t>
  </si>
  <si>
    <t>Provisiones y otras deudas</t>
  </si>
  <si>
    <t>Origen de fondos</t>
  </si>
  <si>
    <t>Análisis económico del balance</t>
  </si>
  <si>
    <t>Activos corrientes</t>
  </si>
  <si>
    <t>Impuestos a las ganancias</t>
  </si>
  <si>
    <t>Gastos de personal</t>
  </si>
  <si>
    <t>Otros gastos de explotación</t>
  </si>
  <si>
    <t>Gastos</t>
  </si>
  <si>
    <t>Ingresos</t>
  </si>
  <si>
    <t>Gastos variables</t>
  </si>
  <si>
    <t>Gastos fijos</t>
  </si>
  <si>
    <t>Personal</t>
  </si>
  <si>
    <t>Gastos no recurrentes</t>
  </si>
  <si>
    <t>PER</t>
  </si>
  <si>
    <t>CFA (euros)</t>
  </si>
  <si>
    <t>Cotización (euros/acción)</t>
  </si>
  <si>
    <t>Bursátiles</t>
  </si>
  <si>
    <t>Margen bruto/ingresos (%)</t>
  </si>
  <si>
    <t>Productividad (euros/persona)</t>
  </si>
  <si>
    <t>Operativos</t>
  </si>
  <si>
    <t>Período medio de pago (días)</t>
  </si>
  <si>
    <t>Período medio de cobro (días)</t>
  </si>
  <si>
    <t>ROCE (%)</t>
  </si>
  <si>
    <t>Liquidez</t>
  </si>
  <si>
    <t>Financieros</t>
  </si>
  <si>
    <t>POTASAS</t>
  </si>
  <si>
    <t>COLAS Y RESINAS</t>
  </si>
  <si>
    <t>POLIOLES</t>
  </si>
  <si>
    <t>POLVOS DE MOLDEO</t>
  </si>
  <si>
    <t>FOSMOMICINAS</t>
  </si>
  <si>
    <t>FUSÍDICO</t>
  </si>
  <si>
    <t>ERITROMICINAS</t>
  </si>
  <si>
    <t>AZITROMICINAS</t>
  </si>
  <si>
    <t>ELECTRICIDAD</t>
  </si>
  <si>
    <t xml:space="preserve">Química Bàsica </t>
  </si>
  <si>
    <t xml:space="preserve">Plástics </t>
  </si>
  <si>
    <t>Negocis associats al Clor</t>
  </si>
  <si>
    <t xml:space="preserve">Total Ercros </t>
  </si>
  <si>
    <t>Angola</t>
  </si>
  <si>
    <t>Armenia</t>
  </si>
  <si>
    <t>Benin</t>
  </si>
  <si>
    <t>Bolivia</t>
  </si>
  <si>
    <t>Chad</t>
  </si>
  <si>
    <t>Congo</t>
  </si>
  <si>
    <t>Cuba</t>
  </si>
  <si>
    <t>Emiratos Arabes</t>
  </si>
  <si>
    <t>Eslovenia</t>
  </si>
  <si>
    <t>Gabon</t>
  </si>
  <si>
    <t>Gambia</t>
  </si>
  <si>
    <t>Guayana</t>
  </si>
  <si>
    <t>Guinea Francesa</t>
  </si>
  <si>
    <t>Honduras</t>
  </si>
  <si>
    <t>Iraq</t>
  </si>
  <si>
    <t>Islas Mauricio</t>
  </si>
  <si>
    <t>Islandia</t>
  </si>
  <si>
    <t>Islas Seychelles</t>
  </si>
  <si>
    <t>Korea</t>
  </si>
  <si>
    <t>Liecheinstein</t>
  </si>
  <si>
    <t>Liberia</t>
  </si>
  <si>
    <t>Libia</t>
  </si>
  <si>
    <t>Macedonia</t>
  </si>
  <si>
    <t>Malaui</t>
  </si>
  <si>
    <t>Maldivas</t>
  </si>
  <si>
    <t>Martinica</t>
  </si>
  <si>
    <t>Mauricio</t>
  </si>
  <si>
    <t>Nepal</t>
  </si>
  <si>
    <t xml:space="preserve">Niger </t>
  </si>
  <si>
    <t>Panamá</t>
  </si>
  <si>
    <t xml:space="preserve">Qatar </t>
  </si>
  <si>
    <t>Rep.Centroafricana</t>
  </si>
  <si>
    <t>Rep.Eslovena</t>
  </si>
  <si>
    <t>Rep.San Marino</t>
  </si>
  <si>
    <t>Ruanda</t>
  </si>
  <si>
    <t>Rusia</t>
  </si>
  <si>
    <t>San Cristobal y Nevis</t>
  </si>
  <si>
    <t>Santa Lucía</t>
  </si>
  <si>
    <t>Sudan</t>
  </si>
  <si>
    <t>Togo</t>
  </si>
  <si>
    <t>Trinidad tobago</t>
  </si>
  <si>
    <t>Uganda</t>
  </si>
  <si>
    <t>Yugoslavia</t>
  </si>
  <si>
    <t>Países Bajos</t>
  </si>
  <si>
    <t>Miles de euros</t>
  </si>
  <si>
    <t>Variación (%)</t>
  </si>
  <si>
    <t>Otros ingresos de explotación</t>
  </si>
  <si>
    <t>Cobertura de financiación del inmovilizado</t>
  </si>
  <si>
    <t>Producción (miles de toneladas)</t>
  </si>
  <si>
    <t>Capitalización (miles de euros)</t>
  </si>
  <si>
    <t xml:space="preserve"> –</t>
  </si>
  <si>
    <t>Margen de ebitda ordinario/ventas (%)</t>
  </si>
  <si>
    <t>QUIMICA BASICA</t>
  </si>
  <si>
    <t>PLANTILLA AÑO 2.017 - REAL FIN DE MES - J.C.E.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</si>
  <si>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</si>
  <si>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</si>
  <si>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</si>
  <si>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</si>
  <si>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</si>
  <si>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</si>
  <si>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</si>
  <si>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</si>
  <si>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</si>
  <si>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</si>
  <si>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</si>
  <si>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</si>
  <si>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PLANTILLA</t>
  </si>
  <si>
    <t>Flix (Fijos)</t>
  </si>
  <si>
    <t>Flix (TP/JP/SUS.T.E)</t>
  </si>
  <si>
    <t>Flix (Eventuales)</t>
  </si>
  <si>
    <t>TOTAL FLIX</t>
  </si>
  <si>
    <t>Tarragona (Fijos)</t>
  </si>
  <si>
    <t>Tarragona (TP/JP)</t>
  </si>
  <si>
    <t>Tarragona (Eventuales)</t>
  </si>
  <si>
    <t>TOTAL TARRAGONA</t>
  </si>
  <si>
    <t>Cardona (Fijos)</t>
  </si>
  <si>
    <t>Cardona (TP/JP)</t>
  </si>
  <si>
    <t>Cardona (Eventuales)</t>
  </si>
  <si>
    <t>TOTAL CARDONA</t>
  </si>
  <si>
    <t>Sabiñánigo (Fijos)</t>
  </si>
  <si>
    <t>Sabiñánigo (TP/JP)</t>
  </si>
  <si>
    <t>Sabiñánigo (Eventuales)</t>
  </si>
  <si>
    <t>TOTAL SABIÑANIGO</t>
  </si>
  <si>
    <t>Vilaseca (Fijos)</t>
  </si>
  <si>
    <t>Vilaseca (TP/JP)</t>
  </si>
  <si>
    <t>Vilaseca (Eventuales)</t>
  </si>
  <si>
    <t>TOTAL VILASECA</t>
  </si>
  <si>
    <t xml:space="preserve">Red Comercial (Fijos)         </t>
  </si>
  <si>
    <t xml:space="preserve">Red Comercial (TP/JP)      </t>
  </si>
  <si>
    <t xml:space="preserve">Red Comercial (Eventuales) </t>
  </si>
  <si>
    <t>TOTAL RED COMERCIAL QUIM. BASICA</t>
  </si>
  <si>
    <t>Sede (Fijos)</t>
  </si>
  <si>
    <t>Sede (TP/JP)</t>
  </si>
  <si>
    <t>Sede (Eventuales)</t>
  </si>
  <si>
    <t>TOTAL SEDE QUIMICA BASICA</t>
  </si>
  <si>
    <t>I+D (Fijos)</t>
  </si>
  <si>
    <t>I+D (TP/JP)</t>
  </si>
  <si>
    <t>I+D (Eventuales)</t>
  </si>
  <si>
    <t>TOTAL I+D QUIMICA BASICA</t>
  </si>
  <si>
    <t>QUIM. BASICA (Fijos)</t>
  </si>
  <si>
    <t>QUIM. BASICA (TP/JP)</t>
  </si>
  <si>
    <t>QUIM. BASICA (Eventuales)</t>
  </si>
  <si>
    <t>TOTAL QUIMICA BASICA</t>
  </si>
  <si>
    <t>Mes QUIM. BASICA (Fijos)</t>
  </si>
  <si>
    <t>QUIM. BASICA (Media fijos)</t>
  </si>
  <si>
    <t>Mes QUIM. BASICA (TP/JP)</t>
  </si>
  <si>
    <t>QUIM. BASICA (Media TP/JP/SUS.T.E)</t>
  </si>
  <si>
    <t>Mes QUIM. BASICA (Eventuales)</t>
  </si>
  <si>
    <t>QUIM. BASICA (Media Eventuales)</t>
  </si>
  <si>
    <t>ACU TOTAL QUIMICA BASICA (Media fijos)</t>
  </si>
  <si>
    <t>Plantilla Media  QUIM. BASICA</t>
  </si>
  <si>
    <t>ACU QUIM. BASICA (Media TP/JP/SusTE)</t>
  </si>
  <si>
    <t>ACU QUIM. BASICA (Media eventuales)</t>
  </si>
  <si>
    <t>PLASTICOS</t>
  </si>
  <si>
    <t>Vil 2 y Log (Fijos)</t>
  </si>
  <si>
    <t>Vil 2 y Log (TP/JP)</t>
  </si>
  <si>
    <t>Vil 2 y Log (Eventuales)</t>
  </si>
  <si>
    <t>TOTAL VIL 2 y LOG</t>
  </si>
  <si>
    <t>Monzón (Fijos)</t>
  </si>
  <si>
    <t>Monzón (TP/JP)</t>
  </si>
  <si>
    <t>Monzón (Eventuales)</t>
  </si>
  <si>
    <t>TOTAL MONZON</t>
  </si>
  <si>
    <t>Red Comercial (Fijos)</t>
  </si>
  <si>
    <t>Red Comercial (TP/JP)</t>
  </si>
  <si>
    <t>Red Comercial (Eventuales)</t>
  </si>
  <si>
    <t>TOTAL RED COMERCIAL PLASTICOS</t>
  </si>
  <si>
    <t>TOTAL SEDE PLASTICOS</t>
  </si>
  <si>
    <t>TOTAL I+D PLASTICOS</t>
  </si>
  <si>
    <t>PLASTICOS (Fijos)</t>
  </si>
  <si>
    <t>PLASTICOS (TP/JP)</t>
  </si>
  <si>
    <t>PLASTICOS (Eventuales)</t>
  </si>
  <si>
    <t>TOTAL PLASTICOS</t>
  </si>
  <si>
    <t>Mes PLASTICOS (Fijos)</t>
  </si>
  <si>
    <t>PLASTICOS  (Media fijos)</t>
  </si>
  <si>
    <t>Mes PLASTICOS (TP/JP)</t>
  </si>
  <si>
    <t>PLASTICOS (Media TP/JP)</t>
  </si>
  <si>
    <t>Mes PLASTICOS (Eventuales)</t>
  </si>
  <si>
    <t>PLASTICOS  (Media eventuales)</t>
  </si>
  <si>
    <t>ACU TOTAL PLASTICOS (Media fijos)</t>
  </si>
  <si>
    <t>Plantilla Media PLASTICOS</t>
  </si>
  <si>
    <t>ACU PLASTICOS (Media TP/JP/SusTE)</t>
  </si>
  <si>
    <t>ACU PLASTICOS (Media eventuales)</t>
  </si>
  <si>
    <t>TTMNTO. AGUAS</t>
  </si>
  <si>
    <t xml:space="preserve">TOTAL SABIÑANIGO </t>
  </si>
  <si>
    <t>TOTAL RED COMERCIAL T. AGUAS</t>
  </si>
  <si>
    <t>TOTAL SEDE TTMNTO. AGUAS</t>
  </si>
  <si>
    <t>TTMNTO. AGUAS (Fijos)</t>
  </si>
  <si>
    <t>TTMNTO. AGUAS (TP/JP)</t>
  </si>
  <si>
    <t>TTMNTO. AGUAS (Eventuales)</t>
  </si>
  <si>
    <t>TOTAL TTMNTO. AGUAS</t>
  </si>
  <si>
    <t>Mes TA (Fijos)</t>
  </si>
  <si>
    <t>TTMNTO. AGUAS (Media fijos)</t>
  </si>
  <si>
    <t>Mes TA (TP/JP)</t>
  </si>
  <si>
    <t>TTMNTO. AGUAS (Media TP/JP)</t>
  </si>
  <si>
    <t>Mes TA (Eventuales)</t>
  </si>
  <si>
    <t>TTMNTO. AGUAS (Media eventuales)</t>
  </si>
  <si>
    <t>ACU TOTAL TA (Media fijos)</t>
  </si>
  <si>
    <t>Plantilla Media TTMNTO. AGUAS</t>
  </si>
  <si>
    <t>ACU TA (Media TP/JP/SusTE)</t>
  </si>
  <si>
    <t>ACU TA (Media eventuales)</t>
  </si>
  <si>
    <t>Aranjuez (Fijos)</t>
  </si>
  <si>
    <t>Aranjuez (TP/JP)</t>
  </si>
  <si>
    <t>Aranjuez (Eventuales)</t>
  </si>
  <si>
    <t>TOTAL ARANJUEZ</t>
  </si>
  <si>
    <t>TOTAL RED COMERCIAL FARMACIA</t>
  </si>
  <si>
    <t>TOTAL SEDE FARMACIA</t>
  </si>
  <si>
    <t>TOTAL I+D FARMACIA</t>
  </si>
  <si>
    <t>FARMACIA (Fijos)</t>
  </si>
  <si>
    <t>FARMACIA (TP/JP)</t>
  </si>
  <si>
    <t>FARMACIA (Eventuales)</t>
  </si>
  <si>
    <t>TOTAL FARMACIA</t>
  </si>
  <si>
    <t>Mes FARM. (Fijos)</t>
  </si>
  <si>
    <t>FARMACIA (Media fijos)</t>
  </si>
  <si>
    <t>Mes FARM. (TP/JP)</t>
  </si>
  <si>
    <t>FARMACIA (Media TP/JP)</t>
  </si>
  <si>
    <t>Mes FARM. (Eventuales)</t>
  </si>
  <si>
    <t>FARMACIA (Media eventuales)</t>
  </si>
  <si>
    <t>ACU TOTAL FARM. (Media fijos)</t>
  </si>
  <si>
    <t>Plantilla Media FARMACIA</t>
  </si>
  <si>
    <t>ACU FARM. (Media TP/JP/SusTE)</t>
  </si>
  <si>
    <t>ACU FARM. (Media eventuales)</t>
  </si>
  <si>
    <t>INTERNACIONAL Q.BÁSICA</t>
  </si>
  <si>
    <t>Francia (Fijos)</t>
  </si>
  <si>
    <t>Francia (Eventuales)</t>
  </si>
  <si>
    <t>TOTAL FRANCIA</t>
  </si>
  <si>
    <t>INTERNACIONAL (Fijos)</t>
  </si>
  <si>
    <t>INTERNACIONAL (Eventuales)</t>
  </si>
  <si>
    <t>TOTAL INTERNACIONAL</t>
  </si>
  <si>
    <t>Mes INTERN. (Fijos)</t>
  </si>
  <si>
    <t>INTERNACIONAL (Media fijos)</t>
  </si>
  <si>
    <t>Mes INTERN. (TP/JP)</t>
  </si>
  <si>
    <t>INTERNACIONAL (Media eventuales)</t>
  </si>
  <si>
    <t>Mes INTERN. (Eventuales)</t>
  </si>
  <si>
    <t>Plantilla Media INTERNACIONAL</t>
  </si>
  <si>
    <t>ACU TOTAL INTERN. (Media fijos)</t>
  </si>
  <si>
    <t>ACU INTERN. (Media TP/JP/SusTE)</t>
  </si>
  <si>
    <t>ACU INTERN. (Media eventuales)</t>
  </si>
  <si>
    <t>QUIMICA INTERMEDIA</t>
  </si>
  <si>
    <t>Almussafes (Fijos)</t>
  </si>
  <si>
    <t>Almussafes (TP/JP)</t>
  </si>
  <si>
    <t>Almussafes (Eventuales)</t>
  </si>
  <si>
    <t>TOTAL ALMUSSAFES</t>
  </si>
  <si>
    <t>Tortosa (Fijos)</t>
  </si>
  <si>
    <t>Tortosa (TP/JP)</t>
  </si>
  <si>
    <t>Tortosa (Eventuales)</t>
  </si>
  <si>
    <t>TOTAL TORTOSA</t>
  </si>
  <si>
    <t>I+D + Ingeniería (Fijos)</t>
  </si>
  <si>
    <t>I+D + Ingeniería (TP/JP)</t>
  </si>
  <si>
    <t>I+D + Ingeniería (Eventuales)</t>
  </si>
  <si>
    <t>TOTAL I+D + INGENIERIA</t>
  </si>
  <si>
    <t>Cerdanyola (Fijos)</t>
  </si>
  <si>
    <t>Cerdanyola (TP/JP)</t>
  </si>
  <si>
    <t>Cerdanyola (Eventuales)</t>
  </si>
  <si>
    <t>TOTAL CERDANYOLA</t>
  </si>
  <si>
    <t>TOTAL RED COMERCIAL QUIM. INTERM.</t>
  </si>
  <si>
    <t>TOTAL SEDE QUIMICA INTERMEDIA</t>
  </si>
  <si>
    <t xml:space="preserve">QUIMICA INTERMEDIA (Fijos) </t>
  </si>
  <si>
    <t>QUIMICA INTERMEDIA (TP/JP)</t>
  </si>
  <si>
    <t>QUIMICA INTERMEDIA (Eventuales)</t>
  </si>
  <si>
    <t>TOTAL QUIMICA INTERMEDIA</t>
  </si>
  <si>
    <t>Mes QUIM. INTERM. (Fijos)</t>
  </si>
  <si>
    <t>QUIMICA INTERMEDIA (Media fijos)</t>
  </si>
  <si>
    <t>Mes QUIM. INTERM. (TP/JP)</t>
  </si>
  <si>
    <t>QUIMICA INTERMEDIA (Media TP/JP)</t>
  </si>
  <si>
    <t>Mes QUIM. INTERM. (Eventuales)</t>
  </si>
  <si>
    <t>QUIMICA INTERMEDIA (Media eventuales)</t>
  </si>
  <si>
    <t>ACU TOTAL QUIMICA INTERM. (Media fijos)</t>
  </si>
  <si>
    <t>Plantilla Media QUIMICA INTERMEDIA</t>
  </si>
  <si>
    <t>ACU QUIM. INTERM. (Media TP/JP/SusTE)</t>
  </si>
  <si>
    <t>ACU QUIM. INTERM. (Media eventuales)</t>
  </si>
  <si>
    <r>
      <t xml:space="preserve">RESUMEN DE PLANTILLA DE </t>
    </r>
    <r>
      <rPr>
        <b/>
        <u/>
        <sz val="14"/>
        <rFont val="Arial"/>
        <family val="2"/>
      </rPr>
      <t>CORPORACION</t>
    </r>
  </si>
  <si>
    <t>CORPORACION</t>
  </si>
  <si>
    <t>Corporación ERCROS S.A. (Fijos)</t>
  </si>
  <si>
    <t>Corporación ERCROS S.A. (TP/JP)</t>
  </si>
  <si>
    <t>Corporación ERCROS S.A. (Event.)</t>
  </si>
  <si>
    <t>TOTAL CORPORACION ERCROS S.A.</t>
  </si>
  <si>
    <t>CORPORACION  (Fijos)</t>
  </si>
  <si>
    <t>CORPORACION (TP/JP)</t>
  </si>
  <si>
    <t>CORPORACION (Eventuales)</t>
  </si>
  <si>
    <t>TOTAL CORPORACION</t>
  </si>
  <si>
    <t>Mes CORPOR. (Fijos)</t>
  </si>
  <si>
    <t>CORPORACION (Media fijos)</t>
  </si>
  <si>
    <t>Mes CORPOR. (TP/JP)</t>
  </si>
  <si>
    <t>CORPORACION (Media TP/JP)</t>
  </si>
  <si>
    <t>Mes CORPOR. (Eventuales)</t>
  </si>
  <si>
    <t>CORPORACION (Media eventuales)</t>
  </si>
  <si>
    <t>ACU TOTAL CORPOR. (Media fijos)</t>
  </si>
  <si>
    <t>Plantilla Media CORPORACION</t>
  </si>
  <si>
    <t>ACU CORPOR. (Media TP/JP/SusTE)</t>
  </si>
  <si>
    <t>ACU CORPOR. (Media eventuales)</t>
  </si>
  <si>
    <r>
      <t xml:space="preserve">RESUMEN DE PLANTILLA - </t>
    </r>
    <r>
      <rPr>
        <b/>
        <u/>
        <sz val="14"/>
        <rFont val="Arial"/>
        <family val="2"/>
      </rPr>
      <t>TOTAL SOCIEDAD</t>
    </r>
  </si>
  <si>
    <t>TOTAL (Fijos)</t>
  </si>
  <si>
    <t>TOTAL (TP/JP/SUS.T.E.)</t>
  </si>
  <si>
    <t>TOTAL (Eventuales)</t>
  </si>
  <si>
    <t>TOTAL MES</t>
  </si>
  <si>
    <t>Mes SOCIEDAD (Fijos)</t>
  </si>
  <si>
    <t>TOTAL MEDIA (Fijos)</t>
  </si>
  <si>
    <t>Mes SOCIEDAD (TP/JP)</t>
  </si>
  <si>
    <t>TOTAL MEDIA (TP/JP/SUS.T.E.)</t>
  </si>
  <si>
    <t>Mes SOCIEDAD (Eventuales)</t>
  </si>
  <si>
    <t>TOTAL MEDIA (Eventuales)</t>
  </si>
  <si>
    <t>ACU TOTAL SOCIEDAD (Media fijos)</t>
  </si>
  <si>
    <t>Plantilla Media SOCIEDAD</t>
  </si>
  <si>
    <t>ACU SOCIEDAD (Media TP/JP/SusTE)</t>
  </si>
  <si>
    <t>TOTAL (Media fijos)</t>
  </si>
  <si>
    <t>ACU SOCIEDAD (Media eventuales)</t>
  </si>
  <si>
    <t>TOTAL (Media TP/JP/SUS.T.E.)</t>
  </si>
  <si>
    <t>TOTAL (Media eventuales)</t>
  </si>
  <si>
    <t>Nota: en esta estadística el criterio utilizado para la distribución de la plantilla ha sido mediante el centro de coste de cada trabajador.</t>
  </si>
  <si>
    <t>Nota 2: en esta estadística se incluye al personal jubilado parcial procedente de los contratos de relevo. Para el % de jornada imputado se ha utilizado el sistema J.C.E. (Jornada Completa Equivalente)</t>
  </si>
  <si>
    <t>Variación</t>
  </si>
  <si>
    <t>Albania</t>
  </si>
  <si>
    <t xml:space="preserve">Puerto Rico </t>
  </si>
  <si>
    <t>Neto</t>
  </si>
  <si>
    <t>Cloruro Sódico</t>
  </si>
  <si>
    <t>Sosa Cáustica Líquida Ajena</t>
  </si>
  <si>
    <t>Sosa Cáustica Líquida Propia</t>
  </si>
  <si>
    <t>2018 / 2017</t>
  </si>
  <si>
    <t>Prest.Servicios España</t>
  </si>
  <si>
    <t>Prest.Servicios U.E.</t>
  </si>
  <si>
    <t>Prest.Servicios Resto</t>
  </si>
  <si>
    <t>Total Prest Servicios</t>
  </si>
  <si>
    <t xml:space="preserve">Total </t>
  </si>
  <si>
    <t>SOSA con perlas</t>
  </si>
  <si>
    <t>SOSA sin perlas</t>
  </si>
  <si>
    <t>Hombres</t>
  </si>
  <si>
    <t>Mujeres</t>
  </si>
  <si>
    <t>Técnicos</t>
  </si>
  <si>
    <t>Participación en ganancias de asociadas</t>
  </si>
  <si>
    <t>Ventas de productos</t>
  </si>
  <si>
    <t>Prestaciones de servicios</t>
  </si>
  <si>
    <t>Total  consolidado</t>
  </si>
  <si>
    <t>Cuenta de pérdidas y ganancias consolidada</t>
  </si>
  <si>
    <t>Total Ercros</t>
  </si>
  <si>
    <t>Margen ebitda/cifra de negocios ( %)</t>
  </si>
  <si>
    <t>Ventas por areas geográficas</t>
  </si>
  <si>
    <t>Compras y ventas en dólares</t>
  </si>
  <si>
    <t>Miles $</t>
  </si>
  <si>
    <t>Variación (M€)</t>
  </si>
  <si>
    <t>Ratio de apalancamiento (DFN/PT)</t>
  </si>
  <si>
    <t>Ratio de solvencia (DFN/ebitda ordinario)</t>
  </si>
  <si>
    <t> Variación (%)</t>
  </si>
  <si>
    <t>Variación (miles de €)</t>
  </si>
  <si>
    <t>Beneficio por acción (€)</t>
  </si>
  <si>
    <t>(%)</t>
  </si>
  <si>
    <t>Cuota
(%)</t>
  </si>
  <si>
    <t>% /ventas</t>
  </si>
  <si>
    <t>% /compras</t>
  </si>
  <si>
    <t>Variación (m€)</t>
  </si>
  <si>
    <t>Equiv.
Miles €</t>
  </si>
  <si>
    <t>Variación
(%)</t>
  </si>
  <si>
    <t>$/€</t>
  </si>
  <si>
    <t xml:space="preserve">Tipo de cambio medio </t>
  </si>
  <si>
    <t>Estructura de la plantilla media</t>
  </si>
  <si>
    <t>Numero de personas</t>
  </si>
  <si>
    <t>Estructura de costes</t>
  </si>
  <si>
    <t>Patrimonio total (PT)</t>
  </si>
  <si>
    <t>Deuda financiera neta (DFN)</t>
  </si>
  <si>
    <t>Cuenta de pérdidas y ganacias de las divisiones</t>
  </si>
  <si>
    <t>Resto de la UE</t>
  </si>
  <si>
    <t>Resto de la OCDE</t>
  </si>
  <si>
    <t>Resto del mundo</t>
  </si>
  <si>
    <t>Apalancamiento: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</si>
  <si>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</si>
  <si>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respecto del patrimonio del Grupo Ercros.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</si>
  <si>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</si>
  <si>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 ordinario.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</si>
  <si>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</si>
  <si>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</si>
  <si>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</si>
  <si>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</si>
  <si>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Cobertura de financiación del inmovilizado: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</si>
  <si>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total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</si>
  <si>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</si>
  <si>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t>ROCE: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</si>
  <si>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</si>
  <si>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nivel de rentabilidad obtenido por la empresa en su negocio ordinario en relación con la inversión realizada.</t>
    </r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</si>
  <si>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</si>
  <si>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</si>
  <si>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</si>
  <si>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</si>
  <si>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</si>
  <si>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</si>
  <si>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</si>
  <si>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</si>
  <si>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</si>
  <si>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ordinario + gastos de personal.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</si>
  <si>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</si>
  <si>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</si>
  <si>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</si>
  <si>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</si>
  <si>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</si>
  <si>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</si>
  <si>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</si>
  <si>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r>
      <t xml:space="preserve">Margen de ebitda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</si>
  <si>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</si>
  <si>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ordinarios obtenidos.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</si>
  <si>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</si>
  <si>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</si>
  <si>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</si>
  <si>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</si>
  <si>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</si>
  <si>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</si>
  <si>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</si>
  <si>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medio ponderado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</si>
  <si>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</si>
  <si>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</si>
  <si>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</si>
  <si>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</si>
  <si>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</si>
  <si>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</si>
  <si>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</si>
  <si>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</si>
  <si>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</si>
  <si>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relacionar el valor de la Sociedad en la Bolsa con su valor teórico contable.</t>
    </r>
  </si>
  <si>
    <t>Ejercicio 2019</t>
  </si>
  <si>
    <t>Reversión de provisiones y otros ingresos extraordinarios</t>
  </si>
  <si>
    <t>Resultado de la venta de propiedades de inversión</t>
  </si>
  <si>
    <t>-</t>
  </si>
  <si>
    <t>Dotación de provisiones y otros gastos extraordinarios</t>
  </si>
  <si>
    <t>Ebitda</t>
  </si>
  <si>
    <t>Deterioro de propiedades de inversión</t>
  </si>
  <si>
    <t>Gastos financieros y diferencias de cambio</t>
  </si>
  <si>
    <t>No asignado</t>
  </si>
  <si>
    <t>Valor añadido (miles de euros)</t>
  </si>
  <si>
    <r>
      <t>BPA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(euros)</t>
    </r>
  </si>
  <si>
    <r>
      <t>Indicadores fundamentales</t>
    </r>
    <r>
      <rPr>
        <b/>
        <vertAlign val="superscript"/>
        <sz val="14"/>
        <color theme="0"/>
        <rFont val="Times New Roman"/>
        <family val="1"/>
      </rPr>
      <t>1</t>
    </r>
  </si>
  <si>
    <r>
      <t>1.</t>
    </r>
    <r>
      <rPr>
        <b/>
        <vertAlign val="superscript"/>
        <sz val="7"/>
        <color theme="1"/>
        <rFont val="Times New Roman"/>
        <family val="1"/>
      </rPr>
      <t>  </t>
    </r>
    <r>
      <rPr>
        <b/>
        <sz val="10"/>
        <color theme="1"/>
        <rFont val="Times New Roman"/>
        <family val="1"/>
      </rPr>
      <t>Método de cálculo y propósito de cada indicador:</t>
    </r>
  </si>
  <si>
    <t>Ejercicio
2019</t>
  </si>
  <si>
    <t>Gasto por depreciación y amortización</t>
  </si>
  <si>
    <t>Deterioro de las propiedades de inversión</t>
  </si>
  <si>
    <t>Ejercicio 2020</t>
  </si>
  <si>
    <r>
      <t>Ratio de apalancamiento (≤0,5)</t>
    </r>
    <r>
      <rPr>
        <vertAlign val="superscript"/>
        <sz val="12"/>
        <color theme="1"/>
        <rFont val="Times New Roman"/>
        <family val="1"/>
      </rPr>
      <t>2</t>
    </r>
  </si>
  <si>
    <r>
      <t>Ratio de solvencia (≤2)</t>
    </r>
    <r>
      <rPr>
        <vertAlign val="superscript"/>
        <sz val="12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</si>
  <si>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2.</t>
    </r>
    <r>
      <rPr>
        <sz val="10"/>
        <color theme="1"/>
        <rFont val="Times New Roman"/>
        <family val="1"/>
      </rPr>
      <t xml:space="preserve"> Condiciones para el pago de dividendo.</t>
    </r>
  </si>
  <si>
    <t>Ejercicio
2020</t>
  </si>
  <si>
    <t>Reducción de existencias de productos terminados</t>
  </si>
  <si>
    <t>Aumento de existencias de productos terminados</t>
  </si>
  <si>
    <t>-    Cálculo de acuerdo con la Ley 15/2010 de 5 de julio</t>
  </si>
  <si>
    <t>Directivos</t>
  </si>
  <si>
    <t>Técnicos senior</t>
  </si>
  <si>
    <t>Grupo 6 CGIQ</t>
  </si>
  <si>
    <t>Grupo 5 CGIQ</t>
  </si>
  <si>
    <t>Grupo 4 CGIQ</t>
  </si>
  <si>
    <t>Grupo 3 CGIQ</t>
  </si>
  <si>
    <t>Grupo 2 CGIQ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</si>
</sst>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[$-C0A]mmm\-yy;@"/>
    <numFmt numFmtId="167" formatCode="#,##0;\(#,##0\);\-"/>
    <numFmt numFmtId="168" formatCode="#,##0.00;\(#,##0.00\);\-"/>
    <numFmt numFmtId="169" formatCode="#,##0.0000;\(#,##0.0000\);\-"/>
    <numFmt numFmtId="170" formatCode="0.000"/>
    <numFmt numFmtId="171" formatCode="#,##0.0"/>
    <numFmt numFmtId="172" formatCode="_-* #,##0.00\ _P_t_s_-;\-* #,##0.00\ _P_t_s_-;_-* &quot;-&quot;??\ _P_t_s_-;_-@_-"/>
    <numFmt numFmtId="173" formatCode="#,##0_ ;[Red]\-#,##0\ "/>
    <numFmt numFmtId="174" formatCode="dd\-mm\-yy;@"/>
    <numFmt numFmtId="175" formatCode="d\-m\-yy;@"/>
    <numFmt numFmtId="176" formatCode="#,##0.00_);\(#,##0.00\)"/>
    <numFmt numFmtId="177" formatCode="0.0000"/>
  </numFmts>
  <fonts count="9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sz val="10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6"/>
      <name val="Arial"/>
      <family val="2"/>
    </font>
    <font>
      <sz val="6"/>
      <color indexed="5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2"/>
      <color rgb="FF000000"/>
      <name val="Times"/>
      <family val="1"/>
    </font>
    <font>
      <sz val="12"/>
      <color rgb="FF000000"/>
      <name val="Times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"/>
      <family val="1"/>
    </font>
    <font>
      <b/>
      <sz val="11"/>
      <color rgb="FF000000"/>
      <name val="Times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"/>
      <family val="1"/>
    </font>
    <font>
      <sz val="14"/>
      <color indexed="8"/>
      <name val="Times New Roman"/>
      <family val="1"/>
    </font>
    <font>
      <b/>
      <sz val="12"/>
      <color indexed="8"/>
      <name val="Times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2"/>
    </font>
    <font>
      <b/>
      <sz val="14"/>
      <color theme="1"/>
      <name val="Times New Roman"/>
      <family val="2"/>
    </font>
    <font>
      <b/>
      <sz val="14"/>
      <name val="Times New Roman"/>
      <family val="2"/>
    </font>
    <font>
      <b/>
      <sz val="14"/>
      <color theme="1"/>
      <name val="Times"/>
      <family val="1"/>
    </font>
    <font>
      <b/>
      <sz val="14"/>
      <color rgb="FF000000"/>
      <name val="Times"/>
      <family val="1"/>
    </font>
    <font>
      <sz val="14"/>
      <color theme="1"/>
      <name val="Times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"/>
      <family val="1"/>
    </font>
    <font>
      <b/>
      <sz val="14"/>
      <color rgb="FFFF0000"/>
      <name val="Times"/>
      <family val="1"/>
    </font>
    <font>
      <sz val="12"/>
      <name val="Times New Roman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"/>
      <family val="1"/>
    </font>
    <font>
      <sz val="14"/>
      <name val="Times New Roman"/>
      <family val="2"/>
    </font>
    <font>
      <sz val="11"/>
      <name val="Calibri"/>
      <family val="2"/>
    </font>
    <font>
      <sz val="12"/>
      <name val="Times"/>
      <family val="1"/>
    </font>
    <font>
      <b/>
      <sz val="14"/>
      <name val="Times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172" fontId="11" fillId="0" borderId="0" applyFont="0" applyFill="0" applyBorder="0" applyAlignment="0" applyProtection="0"/>
    <xf numFmtId="0" fontId="3" fillId="0" borderId="0"/>
    <xf numFmtId="0" fontId="31" fillId="0" borderId="0"/>
    <xf numFmtId="0" fontId="14" fillId="0" borderId="0"/>
    <xf numFmtId="0" fontId="11" fillId="0" borderId="0"/>
    <xf numFmtId="0" fontId="32" fillId="0" borderId="0"/>
    <xf numFmtId="0" fontId="31" fillId="0" borderId="0"/>
    <xf numFmtId="0" fontId="18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1" fillId="0" borderId="0"/>
    <xf numFmtId="0" fontId="32" fillId="0" borderId="0"/>
    <xf numFmtId="9" fontId="32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89">
    <xf numFmtId="0" fontId="0" fillId="0" borderId="0" xfId="0"/>
    <xf numFmtId="3" fontId="0" fillId="0" borderId="0" xfId="0" applyNumberFormat="1" applyFill="1"/>
    <xf numFmtId="0" fontId="7" fillId="3" borderId="0" xfId="0" applyFont="1" applyFill="1"/>
    <xf numFmtId="166" fontId="7" fillId="3" borderId="0" xfId="0" applyNumberFormat="1" applyFont="1" applyFill="1" applyAlignment="1">
      <alignment horizontal="center"/>
    </xf>
    <xf numFmtId="167" fontId="8" fillId="3" borderId="0" xfId="0" applyNumberFormat="1" applyFont="1" applyFill="1"/>
    <xf numFmtId="168" fontId="8" fillId="3" borderId="0" xfId="0" applyNumberFormat="1" applyFont="1" applyFill="1"/>
    <xf numFmtId="0" fontId="8" fillId="3" borderId="0" xfId="0" applyFont="1" applyFill="1"/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166" fontId="9" fillId="5" borderId="15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/>
    <xf numFmtId="167" fontId="8" fillId="3" borderId="1" xfId="0" applyNumberFormat="1" applyFont="1" applyFill="1" applyBorder="1"/>
    <xf numFmtId="168" fontId="8" fillId="3" borderId="1" xfId="0" applyNumberFormat="1" applyFont="1" applyFill="1" applyBorder="1"/>
    <xf numFmtId="168" fontId="8" fillId="3" borderId="5" xfId="0" applyNumberFormat="1" applyFont="1" applyFill="1" applyBorder="1"/>
    <xf numFmtId="0" fontId="10" fillId="3" borderId="19" xfId="0" applyFont="1" applyFill="1" applyBorder="1"/>
    <xf numFmtId="167" fontId="8" fillId="0" borderId="8" xfId="0" applyNumberFormat="1" applyFont="1" applyFill="1" applyBorder="1"/>
    <xf numFmtId="167" fontId="8" fillId="0" borderId="20" xfId="0" applyNumberFormat="1" applyFont="1" applyFill="1" applyBorder="1"/>
    <xf numFmtId="10" fontId="8" fillId="0" borderId="11" xfId="9" applyNumberFormat="1" applyFont="1" applyFill="1" applyBorder="1"/>
    <xf numFmtId="0" fontId="8" fillId="0" borderId="0" xfId="0" applyFont="1" applyFill="1"/>
    <xf numFmtId="0" fontId="10" fillId="3" borderId="21" xfId="0" applyFont="1" applyFill="1" applyBorder="1"/>
    <xf numFmtId="167" fontId="8" fillId="0" borderId="3" xfId="0" applyNumberFormat="1" applyFont="1" applyFill="1" applyBorder="1"/>
    <xf numFmtId="167" fontId="8" fillId="0" borderId="22" xfId="0" applyNumberFormat="1" applyFont="1" applyFill="1" applyBorder="1"/>
    <xf numFmtId="10" fontId="8" fillId="0" borderId="4" xfId="9" applyNumberFormat="1" applyFont="1" applyFill="1" applyBorder="1"/>
    <xf numFmtId="0" fontId="10" fillId="3" borderId="23" xfId="0" applyFont="1" applyFill="1" applyBorder="1"/>
    <xf numFmtId="167" fontId="8" fillId="0" borderId="24" xfId="0" applyNumberFormat="1" applyFont="1" applyFill="1" applyBorder="1"/>
    <xf numFmtId="167" fontId="10" fillId="0" borderId="25" xfId="0" applyNumberFormat="1" applyFont="1" applyFill="1" applyBorder="1"/>
    <xf numFmtId="167" fontId="10" fillId="0" borderId="26" xfId="0" applyNumberFormat="1" applyFont="1" applyFill="1" applyBorder="1"/>
    <xf numFmtId="10" fontId="10" fillId="0" borderId="27" xfId="9" applyNumberFormat="1" applyFont="1" applyFill="1" applyBorder="1"/>
    <xf numFmtId="167" fontId="8" fillId="0" borderId="0" xfId="0" applyNumberFormat="1" applyFont="1" applyFill="1"/>
    <xf numFmtId="168" fontId="8" fillId="0" borderId="0" xfId="0" applyNumberFormat="1" applyFont="1" applyFill="1"/>
    <xf numFmtId="0" fontId="8" fillId="3" borderId="28" xfId="0" applyFont="1" applyFill="1" applyBorder="1"/>
    <xf numFmtId="0" fontId="10" fillId="3" borderId="29" xfId="0" applyFont="1" applyFill="1" applyBorder="1" applyAlignment="1">
      <alignment horizontal="center"/>
    </xf>
    <xf numFmtId="169" fontId="8" fillId="0" borderId="29" xfId="0" applyNumberFormat="1" applyFont="1" applyFill="1" applyBorder="1"/>
    <xf numFmtId="169" fontId="8" fillId="3" borderId="29" xfId="0" applyNumberFormat="1" applyFont="1" applyFill="1" applyBorder="1"/>
    <xf numFmtId="10" fontId="8" fillId="0" borderId="29" xfId="9" applyNumberFormat="1" applyFont="1" applyFill="1" applyBorder="1"/>
    <xf numFmtId="167" fontId="8" fillId="3" borderId="16" xfId="0" applyNumberFormat="1" applyFont="1" applyFill="1" applyBorder="1"/>
    <xf numFmtId="0" fontId="8" fillId="3" borderId="0" xfId="0" applyFont="1" applyFill="1" applyAlignment="1">
      <alignment horizontal="center"/>
    </xf>
    <xf numFmtId="0" fontId="8" fillId="3" borderId="9" xfId="0" applyFont="1" applyFill="1" applyBorder="1"/>
    <xf numFmtId="0" fontId="10" fillId="3" borderId="30" xfId="0" applyFont="1" applyFill="1" applyBorder="1"/>
    <xf numFmtId="9" fontId="8" fillId="0" borderId="11" xfId="9" applyNumberFormat="1" applyFont="1" applyFill="1" applyBorder="1"/>
    <xf numFmtId="167" fontId="8" fillId="0" borderId="31" xfId="0" applyNumberFormat="1" applyFont="1" applyFill="1" applyBorder="1"/>
    <xf numFmtId="9" fontId="8" fillId="0" borderId="19" xfId="9" applyNumberFormat="1" applyFont="1" applyFill="1" applyBorder="1"/>
    <xf numFmtId="0" fontId="10" fillId="3" borderId="31" xfId="0" applyFont="1" applyFill="1" applyBorder="1"/>
    <xf numFmtId="9" fontId="8" fillId="0" borderId="4" xfId="9" applyNumberFormat="1" applyFont="1" applyFill="1" applyBorder="1"/>
    <xf numFmtId="9" fontId="8" fillId="0" borderId="21" xfId="9" applyNumberFormat="1" applyFont="1" applyFill="1" applyBorder="1"/>
    <xf numFmtId="10" fontId="8" fillId="0" borderId="21" xfId="9" applyNumberFormat="1" applyFont="1" applyFill="1" applyBorder="1"/>
    <xf numFmtId="167" fontId="8" fillId="0" borderId="32" xfId="0" applyNumberFormat="1" applyFont="1" applyFill="1" applyBorder="1"/>
    <xf numFmtId="167" fontId="8" fillId="0" borderId="33" xfId="0" applyNumberFormat="1" applyFont="1" applyFill="1" applyBorder="1"/>
    <xf numFmtId="0" fontId="10" fillId="3" borderId="23" xfId="0" applyFont="1" applyFill="1" applyBorder="1" applyAlignment="1">
      <alignment horizontal="left"/>
    </xf>
    <xf numFmtId="167" fontId="8" fillId="0" borderId="34" xfId="0" applyNumberFormat="1" applyFont="1" applyFill="1" applyBorder="1"/>
    <xf numFmtId="167" fontId="8" fillId="0" borderId="35" xfId="0" applyNumberFormat="1" applyFont="1" applyFill="1" applyBorder="1"/>
    <xf numFmtId="9" fontId="8" fillId="0" borderId="36" xfId="9" applyNumberFormat="1" applyFont="1" applyFill="1" applyBorder="1"/>
    <xf numFmtId="0" fontId="10" fillId="6" borderId="7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left"/>
    </xf>
    <xf numFmtId="167" fontId="8" fillId="3" borderId="8" xfId="0" applyNumberFormat="1" applyFont="1" applyFill="1" applyBorder="1"/>
    <xf numFmtId="167" fontId="8" fillId="3" borderId="20" xfId="0" applyNumberFormat="1" applyFont="1" applyFill="1" applyBorder="1"/>
    <xf numFmtId="0" fontId="10" fillId="6" borderId="21" xfId="0" applyFont="1" applyFill="1" applyBorder="1" applyAlignment="1">
      <alignment horizontal="left"/>
    </xf>
    <xf numFmtId="167" fontId="8" fillId="3" borderId="3" xfId="0" applyNumberFormat="1" applyFont="1" applyFill="1" applyBorder="1"/>
    <xf numFmtId="167" fontId="8" fillId="3" borderId="22" xfId="0" applyNumberFormat="1" applyFont="1" applyFill="1" applyBorder="1"/>
    <xf numFmtId="0" fontId="10" fillId="6" borderId="36" xfId="0" applyFont="1" applyFill="1" applyBorder="1" applyAlignment="1">
      <alignment horizontal="left"/>
    </xf>
    <xf numFmtId="167" fontId="8" fillId="3" borderId="9" xfId="0" applyNumberFormat="1" applyFont="1" applyFill="1" applyBorder="1"/>
    <xf numFmtId="167" fontId="8" fillId="3" borderId="24" xfId="0" applyNumberFormat="1" applyFont="1" applyFill="1" applyBorder="1"/>
    <xf numFmtId="10" fontId="8" fillId="0" borderId="5" xfId="9" applyNumberFormat="1" applyFont="1" applyFill="1" applyBorder="1"/>
    <xf numFmtId="167" fontId="8" fillId="0" borderId="9" xfId="0" applyNumberFormat="1" applyFont="1" applyFill="1" applyBorder="1"/>
    <xf numFmtId="0" fontId="10" fillId="0" borderId="0" xfId="0" applyFont="1" applyFill="1" applyBorder="1" applyAlignment="1">
      <alignment horizontal="left"/>
    </xf>
    <xf numFmtId="167" fontId="10" fillId="0" borderId="34" xfId="0" applyNumberFormat="1" applyFont="1" applyFill="1" applyBorder="1"/>
    <xf numFmtId="10" fontId="10" fillId="0" borderId="36" xfId="9" applyNumberFormat="1" applyFont="1" applyFill="1" applyBorder="1"/>
    <xf numFmtId="0" fontId="8" fillId="0" borderId="0" xfId="0" applyFont="1" applyFill="1" applyBorder="1"/>
    <xf numFmtId="167" fontId="8" fillId="0" borderId="0" xfId="0" applyNumberFormat="1" applyFont="1" applyFill="1" applyBorder="1"/>
    <xf numFmtId="168" fontId="8" fillId="0" borderId="0" xfId="0" applyNumberFormat="1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left"/>
    </xf>
    <xf numFmtId="10" fontId="8" fillId="0" borderId="0" xfId="9" applyNumberFormat="1" applyFont="1" applyFill="1" applyBorder="1"/>
    <xf numFmtId="0" fontId="10" fillId="3" borderId="2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8" fillId="3" borderId="0" xfId="0" applyFont="1" applyFill="1" applyBorder="1"/>
    <xf numFmtId="167" fontId="8" fillId="3" borderId="0" xfId="0" applyNumberFormat="1" applyFont="1" applyFill="1" applyBorder="1"/>
    <xf numFmtId="168" fontId="8" fillId="3" borderId="0" xfId="0" applyNumberFormat="1" applyFont="1" applyFill="1" applyBorder="1"/>
    <xf numFmtId="168" fontId="8" fillId="0" borderId="3" xfId="0" applyNumberFormat="1" applyFont="1" applyFill="1" applyBorder="1"/>
    <xf numFmtId="10" fontId="8" fillId="0" borderId="4" xfId="9" applyNumberFormat="1" applyFont="1" applyFill="1" applyBorder="1" applyAlignment="1">
      <alignment horizontal="right"/>
    </xf>
    <xf numFmtId="168" fontId="8" fillId="0" borderId="3" xfId="0" applyNumberFormat="1" applyFont="1" applyFill="1" applyBorder="1" applyAlignment="1">
      <alignment horizontal="right"/>
    </xf>
    <xf numFmtId="167" fontId="8" fillId="0" borderId="3" xfId="0" applyNumberFormat="1" applyFont="1" applyFill="1" applyBorder="1" applyAlignment="1">
      <alignment horizontal="right"/>
    </xf>
    <xf numFmtId="0" fontId="10" fillId="0" borderId="37" xfId="0" applyFont="1" applyFill="1" applyBorder="1"/>
    <xf numFmtId="10" fontId="10" fillId="0" borderId="6" xfId="9" applyNumberFormat="1" applyFont="1" applyFill="1" applyBorder="1"/>
    <xf numFmtId="10" fontId="8" fillId="3" borderId="0" xfId="9" applyNumberFormat="1" applyFont="1" applyFill="1"/>
    <xf numFmtId="165" fontId="8" fillId="3" borderId="0" xfId="9" applyNumberFormat="1" applyFont="1" applyFill="1"/>
    <xf numFmtId="10" fontId="10" fillId="0" borderId="4" xfId="9" applyNumberFormat="1" applyFont="1" applyFill="1" applyBorder="1"/>
    <xf numFmtId="167" fontId="10" fillId="0" borderId="3" xfId="0" applyNumberFormat="1" applyFont="1" applyFill="1" applyBorder="1"/>
    <xf numFmtId="167" fontId="10" fillId="0" borderId="22" xfId="0" applyNumberFormat="1" applyFont="1" applyFill="1" applyBorder="1"/>
    <xf numFmtId="168" fontId="10" fillId="0" borderId="0" xfId="0" applyNumberFormat="1" applyFont="1" applyFill="1" applyBorder="1"/>
    <xf numFmtId="16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0" fillId="3" borderId="0" xfId="0" applyFont="1" applyFill="1" applyBorder="1"/>
    <xf numFmtId="0" fontId="8" fillId="0" borderId="38" xfId="0" applyFont="1" applyFill="1" applyBorder="1" applyAlignment="1">
      <alignment horizontal="left"/>
    </xf>
    <xf numFmtId="0" fontId="8" fillId="0" borderId="39" xfId="0" applyFont="1" applyFill="1" applyBorder="1" applyAlignment="1">
      <alignment horizontal="left"/>
    </xf>
    <xf numFmtId="0" fontId="10" fillId="0" borderId="40" xfId="0" applyFont="1" applyFill="1" applyBorder="1" applyAlignment="1">
      <alignment horizontal="left"/>
    </xf>
    <xf numFmtId="168" fontId="10" fillId="0" borderId="41" xfId="0" applyNumberFormat="1" applyFont="1" applyFill="1" applyBorder="1"/>
    <xf numFmtId="168" fontId="10" fillId="0" borderId="42" xfId="0" applyNumberFormat="1" applyFont="1" applyFill="1" applyBorder="1"/>
    <xf numFmtId="10" fontId="10" fillId="0" borderId="43" xfId="9" applyNumberFormat="1" applyFont="1" applyFill="1" applyBorder="1"/>
    <xf numFmtId="167" fontId="10" fillId="0" borderId="42" xfId="0" applyNumberFormat="1" applyFont="1" applyFill="1" applyBorder="1"/>
    <xf numFmtId="49" fontId="8" fillId="3" borderId="0" xfId="0" applyNumberFormat="1" applyFont="1" applyFill="1" applyAlignment="1">
      <alignment horizontal="right"/>
    </xf>
    <xf numFmtId="10" fontId="8" fillId="0" borderId="0" xfId="0" applyNumberFormat="1" applyFont="1" applyFill="1" applyBorder="1"/>
    <xf numFmtId="0" fontId="10" fillId="0" borderId="44" xfId="0" applyFont="1" applyFill="1" applyBorder="1" applyAlignment="1">
      <alignment horizontal="left"/>
    </xf>
    <xf numFmtId="168" fontId="10" fillId="0" borderId="28" xfId="0" applyNumberFormat="1" applyFont="1" applyFill="1" applyBorder="1"/>
    <xf numFmtId="10" fontId="10" fillId="0" borderId="45" xfId="9" applyNumberFormat="1" applyFont="1" applyFill="1" applyBorder="1"/>
    <xf numFmtId="167" fontId="10" fillId="0" borderId="46" xfId="0" applyNumberFormat="1" applyFont="1" applyFill="1" applyBorder="1"/>
    <xf numFmtId="167" fontId="10" fillId="0" borderId="0" xfId="0" applyNumberFormat="1" applyFont="1" applyFill="1" applyBorder="1"/>
    <xf numFmtId="167" fontId="10" fillId="0" borderId="28" xfId="0" applyNumberFormat="1" applyFont="1" applyFill="1" applyBorder="1"/>
    <xf numFmtId="167" fontId="10" fillId="3" borderId="0" xfId="0" applyNumberFormat="1" applyFont="1" applyFill="1" applyBorder="1"/>
    <xf numFmtId="168" fontId="10" fillId="3" borderId="0" xfId="0" applyNumberFormat="1" applyFont="1" applyFill="1" applyBorder="1"/>
    <xf numFmtId="0" fontId="8" fillId="3" borderId="3" xfId="0" applyFont="1" applyFill="1" applyBorder="1"/>
    <xf numFmtId="168" fontId="8" fillId="3" borderId="4" xfId="0" applyNumberFormat="1" applyFont="1" applyFill="1" applyBorder="1"/>
    <xf numFmtId="0" fontId="10" fillId="3" borderId="39" xfId="0" applyFont="1" applyFill="1" applyBorder="1"/>
    <xf numFmtId="0" fontId="10" fillId="0" borderId="47" xfId="0" applyFont="1" applyFill="1" applyBorder="1" applyAlignment="1">
      <alignment horizontal="left"/>
    </xf>
    <xf numFmtId="168" fontId="8" fillId="0" borderId="8" xfId="0" applyNumberFormat="1" applyFont="1" applyFill="1" applyBorder="1"/>
    <xf numFmtId="168" fontId="8" fillId="0" borderId="10" xfId="0" applyNumberFormat="1" applyFont="1" applyFill="1" applyBorder="1"/>
    <xf numFmtId="168" fontId="10" fillId="3" borderId="3" xfId="0" applyNumberFormat="1" applyFont="1" applyFill="1" applyBorder="1"/>
    <xf numFmtId="167" fontId="8" fillId="0" borderId="10" xfId="0" applyNumberFormat="1" applyFont="1" applyFill="1" applyBorder="1"/>
    <xf numFmtId="10" fontId="8" fillId="0" borderId="11" xfId="9" applyNumberFormat="1" applyFont="1" applyFill="1" applyBorder="1" applyAlignment="1">
      <alignment horizontal="right"/>
    </xf>
    <xf numFmtId="10" fontId="10" fillId="3" borderId="4" xfId="9" applyNumberFormat="1" applyFont="1" applyFill="1" applyBorder="1"/>
    <xf numFmtId="168" fontId="10" fillId="0" borderId="46" xfId="0" applyNumberFormat="1" applyFont="1" applyFill="1" applyBorder="1"/>
    <xf numFmtId="10" fontId="10" fillId="3" borderId="45" xfId="9" applyNumberFormat="1" applyFont="1" applyFill="1" applyBorder="1"/>
    <xf numFmtId="167" fontId="10" fillId="0" borderId="41" xfId="0" applyNumberFormat="1" applyFont="1" applyFill="1" applyBorder="1"/>
    <xf numFmtId="168" fontId="10" fillId="0" borderId="7" xfId="0" applyNumberFormat="1" applyFont="1" applyFill="1" applyBorder="1"/>
    <xf numFmtId="168" fontId="10" fillId="0" borderId="2" xfId="0" applyNumberFormat="1" applyFont="1" applyFill="1" applyBorder="1"/>
    <xf numFmtId="167" fontId="10" fillId="0" borderId="7" xfId="0" applyNumberFormat="1" applyFont="1" applyFill="1" applyBorder="1"/>
    <xf numFmtId="167" fontId="10" fillId="0" borderId="2" xfId="0" applyNumberFormat="1" applyFont="1" applyFill="1" applyBorder="1"/>
    <xf numFmtId="167" fontId="10" fillId="3" borderId="3" xfId="0" applyNumberFormat="1" applyFont="1" applyFill="1" applyBorder="1"/>
    <xf numFmtId="165" fontId="8" fillId="3" borderId="0" xfId="9" applyNumberFormat="1" applyFont="1" applyFill="1" applyBorder="1"/>
    <xf numFmtId="165" fontId="8" fillId="0" borderId="0" xfId="9" applyNumberFormat="1" applyFont="1" applyFill="1" applyBorder="1" applyAlignment="1">
      <alignment horizontal="right"/>
    </xf>
    <xf numFmtId="165" fontId="8" fillId="0" borderId="0" xfId="9" applyNumberFormat="1" applyFont="1" applyFill="1" applyBorder="1"/>
    <xf numFmtId="165" fontId="10" fillId="0" borderId="0" xfId="9" applyNumberFormat="1" applyFont="1" applyFill="1" applyBorder="1"/>
    <xf numFmtId="167" fontId="10" fillId="3" borderId="22" xfId="0" applyNumberFormat="1" applyFont="1" applyFill="1" applyBorder="1"/>
    <xf numFmtId="4" fontId="0" fillId="0" borderId="0" xfId="0" applyNumberFormat="1"/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Fill="1" applyBorder="1"/>
    <xf numFmtId="0" fontId="7" fillId="3" borderId="0" xfId="5" applyFont="1" applyFill="1"/>
    <xf numFmtId="166" fontId="7" fillId="3" borderId="0" xfId="5" applyNumberFormat="1" applyFont="1" applyFill="1" applyAlignment="1">
      <alignment horizontal="center"/>
    </xf>
    <xf numFmtId="167" fontId="8" fillId="3" borderId="0" xfId="5" applyNumberFormat="1" applyFont="1" applyFill="1"/>
    <xf numFmtId="168" fontId="8" fillId="3" borderId="0" xfId="5" applyNumberFormat="1" applyFont="1" applyFill="1"/>
    <xf numFmtId="0" fontId="8" fillId="3" borderId="0" xfId="5" applyFont="1" applyFill="1"/>
    <xf numFmtId="167" fontId="8" fillId="3" borderId="1" xfId="5" applyNumberFormat="1" applyFont="1" applyFill="1" applyBorder="1"/>
    <xf numFmtId="168" fontId="8" fillId="3" borderId="1" xfId="5" applyNumberFormat="1" applyFont="1" applyFill="1" applyBorder="1"/>
    <xf numFmtId="168" fontId="8" fillId="3" borderId="5" xfId="5" applyNumberFormat="1" applyFont="1" applyFill="1" applyBorder="1"/>
    <xf numFmtId="0" fontId="10" fillId="3" borderId="19" xfId="5" applyFont="1" applyFill="1" applyBorder="1"/>
    <xf numFmtId="0" fontId="10" fillId="3" borderId="21" xfId="5" applyFont="1" applyFill="1" applyBorder="1"/>
    <xf numFmtId="0" fontId="10" fillId="3" borderId="23" xfId="5" applyFont="1" applyFill="1" applyBorder="1"/>
    <xf numFmtId="167" fontId="10" fillId="0" borderId="26" xfId="5" applyNumberFormat="1" applyFont="1" applyFill="1" applyBorder="1"/>
    <xf numFmtId="0" fontId="8" fillId="3" borderId="28" xfId="5" applyFont="1" applyFill="1" applyBorder="1"/>
    <xf numFmtId="0" fontId="10" fillId="3" borderId="29" xfId="5" applyFont="1" applyFill="1" applyBorder="1" applyAlignment="1">
      <alignment horizontal="center"/>
    </xf>
    <xf numFmtId="10" fontId="8" fillId="0" borderId="29" xfId="12" applyNumberFormat="1" applyFont="1" applyFill="1" applyBorder="1"/>
    <xf numFmtId="167" fontId="8" fillId="3" borderId="16" xfId="5" applyNumberFormat="1" applyFont="1" applyFill="1" applyBorder="1"/>
    <xf numFmtId="0" fontId="8" fillId="3" borderId="0" xfId="5" applyFont="1" applyFill="1" applyAlignment="1">
      <alignment horizontal="center"/>
    </xf>
    <xf numFmtId="0" fontId="8" fillId="3" borderId="9" xfId="5" applyFont="1" applyFill="1" applyBorder="1"/>
    <xf numFmtId="0" fontId="10" fillId="6" borderId="21" xfId="5" applyFont="1" applyFill="1" applyBorder="1" applyAlignment="1">
      <alignment horizontal="left"/>
    </xf>
    <xf numFmtId="0" fontId="10" fillId="0" borderId="0" xfId="5" applyFont="1" applyFill="1" applyBorder="1" applyAlignment="1">
      <alignment horizontal="left"/>
    </xf>
    <xf numFmtId="0" fontId="8" fillId="0" borderId="0" xfId="5" applyFont="1" applyFill="1" applyBorder="1"/>
    <xf numFmtId="167" fontId="8" fillId="0" borderId="0" xfId="5" applyNumberFormat="1" applyFont="1" applyFill="1" applyBorder="1"/>
    <xf numFmtId="168" fontId="8" fillId="0" borderId="0" xfId="5" applyNumberFormat="1" applyFont="1" applyFill="1" applyBorder="1"/>
    <xf numFmtId="0" fontId="10" fillId="3" borderId="0" xfId="5" applyFont="1" applyFill="1" applyBorder="1" applyAlignment="1">
      <alignment horizontal="left"/>
    </xf>
    <xf numFmtId="0" fontId="8" fillId="3" borderId="0" xfId="5" applyFont="1" applyFill="1" applyBorder="1"/>
    <xf numFmtId="167" fontId="8" fillId="3" borderId="0" xfId="5" applyNumberFormat="1" applyFont="1" applyFill="1" applyBorder="1"/>
    <xf numFmtId="168" fontId="8" fillId="3" borderId="0" xfId="5" applyNumberFormat="1" applyFont="1" applyFill="1" applyBorder="1"/>
    <xf numFmtId="10" fontId="8" fillId="3" borderId="0" xfId="12" applyNumberFormat="1" applyFont="1" applyFill="1"/>
    <xf numFmtId="0" fontId="10" fillId="6" borderId="23" xfId="5" applyFont="1" applyFill="1" applyBorder="1" applyAlignment="1">
      <alignment horizontal="left"/>
    </xf>
    <xf numFmtId="165" fontId="8" fillId="0" borderId="11" xfId="12" applyNumberFormat="1" applyFont="1" applyFill="1" applyBorder="1"/>
    <xf numFmtId="165" fontId="8" fillId="0" borderId="45" xfId="12" applyNumberFormat="1" applyFont="1" applyFill="1" applyBorder="1"/>
    <xf numFmtId="165" fontId="8" fillId="0" borderId="4" xfId="12" applyNumberFormat="1" applyFont="1" applyFill="1" applyBorder="1"/>
    <xf numFmtId="165" fontId="10" fillId="0" borderId="6" xfId="12" applyNumberFormat="1" applyFont="1" applyFill="1" applyBorder="1"/>
    <xf numFmtId="167" fontId="10" fillId="0" borderId="7" xfId="5" applyNumberFormat="1" applyFont="1" applyFill="1" applyBorder="1"/>
    <xf numFmtId="165" fontId="8" fillId="0" borderId="0" xfId="12" applyNumberFormat="1" applyFont="1" applyFill="1" applyBorder="1"/>
    <xf numFmtId="165" fontId="8" fillId="0" borderId="4" xfId="12" applyNumberFormat="1" applyFont="1" applyFill="1" applyBorder="1" applyAlignment="1">
      <alignment horizontal="right"/>
    </xf>
    <xf numFmtId="165" fontId="10" fillId="0" borderId="27" xfId="12" applyNumberFormat="1" applyFont="1" applyFill="1" applyBorder="1"/>
    <xf numFmtId="165" fontId="8" fillId="0" borderId="19" xfId="12" applyNumberFormat="1" applyFont="1" applyFill="1" applyBorder="1"/>
    <xf numFmtId="165" fontId="8" fillId="0" borderId="21" xfId="12" applyNumberFormat="1" applyFont="1" applyFill="1" applyBorder="1"/>
    <xf numFmtId="165" fontId="8" fillId="0" borderId="36" xfId="12" applyNumberFormat="1" applyFont="1" applyFill="1" applyBorder="1"/>
    <xf numFmtId="0" fontId="10" fillId="3" borderId="48" xfId="5" applyFont="1" applyFill="1" applyBorder="1"/>
    <xf numFmtId="3" fontId="11" fillId="0" borderId="51" xfId="5" applyNumberFormat="1" applyFill="1" applyBorder="1"/>
    <xf numFmtId="3" fontId="15" fillId="0" borderId="20" xfId="5" applyNumberFormat="1" applyFont="1" applyFill="1" applyBorder="1" applyAlignment="1">
      <alignment horizontal="center" vertical="center"/>
    </xf>
    <xf numFmtId="49" fontId="15" fillId="0" borderId="20" xfId="5" applyNumberFormat="1" applyFont="1" applyFill="1" applyBorder="1" applyAlignment="1">
      <alignment horizontal="center" vertical="center" wrapText="1"/>
    </xf>
    <xf numFmtId="3" fontId="15" fillId="0" borderId="20" xfId="5" applyNumberFormat="1" applyFont="1" applyFill="1" applyBorder="1" applyAlignment="1">
      <alignment horizontal="center" vertical="center" wrapText="1"/>
    </xf>
    <xf numFmtId="4" fontId="15" fillId="0" borderId="20" xfId="5" applyNumberFormat="1" applyFont="1" applyFill="1" applyBorder="1" applyAlignment="1">
      <alignment horizontal="center" vertical="center" wrapText="1"/>
    </xf>
    <xf numFmtId="3" fontId="15" fillId="0" borderId="20" xfId="5" applyNumberFormat="1" applyFont="1" applyBorder="1" applyAlignment="1">
      <alignment horizontal="center" vertical="center" wrapText="1"/>
    </xf>
    <xf numFmtId="3" fontId="11" fillId="0" borderId="0" xfId="5" applyNumberFormat="1"/>
    <xf numFmtId="3" fontId="11" fillId="0" borderId="32" xfId="5" applyNumberFormat="1" applyFill="1" applyBorder="1"/>
    <xf numFmtId="3" fontId="11" fillId="0" borderId="22" xfId="5" applyNumberFormat="1" applyFill="1" applyBorder="1" applyAlignment="1">
      <alignment horizontal="center"/>
    </xf>
    <xf numFmtId="3" fontId="11" fillId="0" borderId="22" xfId="5" applyNumberFormat="1" applyFont="1" applyFill="1" applyBorder="1" applyAlignment="1">
      <alignment horizontal="center"/>
    </xf>
    <xf numFmtId="3" fontId="11" fillId="0" borderId="22" xfId="5" applyNumberFormat="1" applyFill="1" applyBorder="1"/>
    <xf numFmtId="4" fontId="16" fillId="0" borderId="22" xfId="5" applyNumberFormat="1" applyFont="1" applyFill="1" applyBorder="1" applyAlignment="1">
      <alignment horizontal="center"/>
    </xf>
    <xf numFmtId="4" fontId="11" fillId="0" borderId="22" xfId="5" applyNumberFormat="1" applyFill="1" applyBorder="1"/>
    <xf numFmtId="0" fontId="11" fillId="0" borderId="22" xfId="5" applyFont="1" applyFill="1" applyBorder="1" applyAlignment="1">
      <alignment horizontal="right" readingOrder="2"/>
    </xf>
    <xf numFmtId="4" fontId="11" fillId="0" borderId="22" xfId="5" applyNumberFormat="1" applyBorder="1"/>
    <xf numFmtId="3" fontId="17" fillId="0" borderId="32" xfId="5" applyNumberFormat="1" applyFont="1" applyFill="1" applyBorder="1"/>
    <xf numFmtId="3" fontId="17" fillId="0" borderId="22" xfId="5" applyNumberFormat="1" applyFont="1" applyFill="1" applyBorder="1" applyAlignment="1">
      <alignment horizontal="center"/>
    </xf>
    <xf numFmtId="4" fontId="11" fillId="0" borderId="22" xfId="5" applyNumberFormat="1" applyFont="1" applyFill="1" applyBorder="1"/>
    <xf numFmtId="3" fontId="16" fillId="0" borderId="32" xfId="5" applyNumberFormat="1" applyFont="1" applyFill="1" applyBorder="1" applyAlignment="1">
      <alignment horizontal="left"/>
    </xf>
    <xf numFmtId="3" fontId="16" fillId="0" borderId="22" xfId="5" applyNumberFormat="1" applyFont="1" applyFill="1" applyBorder="1" applyAlignment="1">
      <alignment horizontal="center"/>
    </xf>
    <xf numFmtId="3" fontId="16" fillId="0" borderId="32" xfId="5" quotePrefix="1" applyNumberFormat="1" applyFont="1" applyFill="1" applyBorder="1" applyAlignment="1">
      <alignment horizontal="left"/>
    </xf>
    <xf numFmtId="3" fontId="16" fillId="0" borderId="22" xfId="5" quotePrefix="1" applyNumberFormat="1" applyFont="1" applyFill="1" applyBorder="1" applyAlignment="1">
      <alignment horizontal="center"/>
    </xf>
    <xf numFmtId="3" fontId="16" fillId="0" borderId="32" xfId="5" applyNumberFormat="1" applyFont="1" applyFill="1" applyBorder="1"/>
    <xf numFmtId="3" fontId="16" fillId="0" borderId="0" xfId="5" applyNumberFormat="1" applyFont="1"/>
    <xf numFmtId="3" fontId="39" fillId="0" borderId="32" xfId="5" applyNumberFormat="1" applyFont="1" applyFill="1" applyBorder="1"/>
    <xf numFmtId="3" fontId="39" fillId="0" borderId="22" xfId="5" applyNumberFormat="1" applyFont="1" applyFill="1" applyBorder="1" applyAlignment="1">
      <alignment horizontal="center"/>
    </xf>
    <xf numFmtId="3" fontId="17" fillId="0" borderId="0" xfId="5" applyNumberFormat="1" applyFont="1"/>
    <xf numFmtId="4" fontId="16" fillId="0" borderId="22" xfId="5" applyNumberFormat="1" applyFont="1" applyFill="1" applyBorder="1"/>
    <xf numFmtId="3" fontId="15" fillId="0" borderId="25" xfId="5" applyNumberFormat="1" applyFont="1" applyFill="1" applyBorder="1"/>
    <xf numFmtId="4" fontId="15" fillId="0" borderId="26" xfId="5" applyNumberFormat="1" applyFont="1" applyFill="1" applyBorder="1"/>
    <xf numFmtId="4" fontId="15" fillId="9" borderId="26" xfId="5" applyNumberFormat="1" applyFont="1" applyFill="1" applyBorder="1" applyAlignment="1">
      <alignment horizontal="right" readingOrder="2"/>
    </xf>
    <xf numFmtId="3" fontId="15" fillId="0" borderId="0" xfId="5" applyNumberFormat="1" applyFont="1"/>
    <xf numFmtId="173" fontId="11" fillId="0" borderId="22" xfId="5" applyNumberFormat="1" applyFont="1" applyFill="1" applyBorder="1"/>
    <xf numFmtId="3" fontId="11" fillId="0" borderId="24" xfId="5" applyNumberFormat="1" applyFill="1" applyBorder="1" applyAlignment="1">
      <alignment horizontal="center"/>
    </xf>
    <xf numFmtId="3" fontId="11" fillId="0" borderId="24" xfId="5" applyNumberFormat="1" applyFont="1" applyFill="1" applyBorder="1"/>
    <xf numFmtId="3" fontId="11" fillId="0" borderId="24" xfId="5" applyNumberFormat="1" applyBorder="1" applyAlignment="1">
      <alignment horizontal="right" readingOrder="2"/>
    </xf>
    <xf numFmtId="3" fontId="11" fillId="0" borderId="0" xfId="5" applyNumberFormat="1" applyFill="1" applyBorder="1" applyAlignment="1">
      <alignment horizontal="center"/>
    </xf>
    <xf numFmtId="4" fontId="16" fillId="0" borderId="0" xfId="5" applyNumberFormat="1" applyFont="1" applyFill="1" applyBorder="1"/>
    <xf numFmtId="4" fontId="11" fillId="0" borderId="0" xfId="5" applyNumberFormat="1" applyFill="1" applyBorder="1"/>
    <xf numFmtId="4" fontId="11" fillId="0" borderId="0" xfId="5" applyNumberFormat="1"/>
    <xf numFmtId="3" fontId="11" fillId="0" borderId="0" xfId="5" applyNumberFormat="1" applyFill="1" applyAlignment="1">
      <alignment horizontal="center"/>
    </xf>
    <xf numFmtId="3" fontId="11" fillId="0" borderId="0" xfId="5" applyNumberFormat="1" applyFill="1"/>
    <xf numFmtId="3" fontId="11" fillId="0" borderId="0" xfId="5" applyNumberFormat="1" applyBorder="1"/>
    <xf numFmtId="4" fontId="16" fillId="0" borderId="0" xfId="5" applyNumberFormat="1" applyFont="1" applyFill="1"/>
    <xf numFmtId="4" fontId="11" fillId="0" borderId="0" xfId="5" applyNumberFormat="1" applyFill="1"/>
    <xf numFmtId="0" fontId="18" fillId="0" borderId="0" xfId="8"/>
    <xf numFmtId="0" fontId="19" fillId="0" borderId="0" xfId="8" applyFont="1" applyAlignment="1">
      <alignment horizontal="center"/>
    </xf>
    <xf numFmtId="164" fontId="20" fillId="0" borderId="38" xfId="8" applyNumberFormat="1" applyFont="1" applyBorder="1" applyAlignment="1">
      <alignment horizontal="center"/>
    </xf>
    <xf numFmtId="164" fontId="3" fillId="0" borderId="39" xfId="8" applyNumberFormat="1" applyFont="1" applyBorder="1"/>
    <xf numFmtId="0" fontId="22" fillId="0" borderId="47" xfId="8" applyFont="1" applyFill="1" applyBorder="1"/>
    <xf numFmtId="0" fontId="3" fillId="0" borderId="8" xfId="8" applyFont="1" applyBorder="1"/>
    <xf numFmtId="0" fontId="3" fillId="0" borderId="55" xfId="8" applyFont="1" applyBorder="1"/>
    <xf numFmtId="0" fontId="3" fillId="0" borderId="56" xfId="8" applyFont="1" applyBorder="1"/>
    <xf numFmtId="0" fontId="3" fillId="0" borderId="3" xfId="8" applyFont="1" applyBorder="1"/>
    <xf numFmtId="0" fontId="3" fillId="0" borderId="57" xfId="8" applyFont="1" applyBorder="1"/>
    <xf numFmtId="0" fontId="3" fillId="0" borderId="58" xfId="8" applyFont="1" applyBorder="1"/>
    <xf numFmtId="0" fontId="3" fillId="0" borderId="59" xfId="8" applyFont="1" applyBorder="1"/>
    <xf numFmtId="0" fontId="3" fillId="0" borderId="47" xfId="8" applyFont="1" applyBorder="1"/>
    <xf numFmtId="0" fontId="21" fillId="0" borderId="47" xfId="8" applyFont="1" applyBorder="1" applyAlignment="1">
      <alignment horizontal="right"/>
    </xf>
    <xf numFmtId="2" fontId="21" fillId="7" borderId="59" xfId="8" applyNumberFormat="1" applyFont="1" applyFill="1" applyBorder="1"/>
    <xf numFmtId="2" fontId="21" fillId="7" borderId="48" xfId="8" applyNumberFormat="1" applyFont="1" applyFill="1" applyBorder="1"/>
    <xf numFmtId="2" fontId="18" fillId="0" borderId="0" xfId="8" applyNumberFormat="1"/>
    <xf numFmtId="0" fontId="3" fillId="0" borderId="39" xfId="8" applyFont="1" applyBorder="1"/>
    <xf numFmtId="0" fontId="21" fillId="7" borderId="59" xfId="8" applyFont="1" applyFill="1" applyBorder="1"/>
    <xf numFmtId="0" fontId="21" fillId="7" borderId="48" xfId="8" applyFont="1" applyFill="1" applyBorder="1"/>
    <xf numFmtId="2" fontId="21" fillId="7" borderId="47" xfId="8" applyNumberFormat="1" applyFont="1" applyFill="1" applyBorder="1"/>
    <xf numFmtId="0" fontId="21" fillId="0" borderId="47" xfId="8" applyFont="1" applyFill="1" applyBorder="1" applyAlignment="1">
      <alignment horizontal="right"/>
    </xf>
    <xf numFmtId="0" fontId="21" fillId="0" borderId="9" xfId="8" applyFont="1" applyBorder="1" applyAlignment="1">
      <alignment horizontal="right"/>
    </xf>
    <xf numFmtId="0" fontId="3" fillId="0" borderId="39" xfId="8" applyFont="1" applyFill="1" applyBorder="1"/>
    <xf numFmtId="0" fontId="3" fillId="0" borderId="0" xfId="8" applyFont="1"/>
    <xf numFmtId="0" fontId="3" fillId="0" borderId="60" xfId="8" applyFont="1" applyBorder="1"/>
    <xf numFmtId="2" fontId="21" fillId="7" borderId="61" xfId="8" applyNumberFormat="1" applyFont="1" applyFill="1" applyBorder="1"/>
    <xf numFmtId="0" fontId="23" fillId="0" borderId="0" xfId="8" applyFont="1" applyAlignment="1">
      <alignment horizontal="right"/>
    </xf>
    <xf numFmtId="0" fontId="21" fillId="0" borderId="9" xfId="8" applyFont="1" applyFill="1" applyBorder="1" applyAlignment="1">
      <alignment horizontal="right"/>
    </xf>
    <xf numFmtId="0" fontId="18" fillId="0" borderId="0" xfId="8" applyBorder="1"/>
    <xf numFmtId="0" fontId="3" fillId="2" borderId="38" xfId="8" applyFont="1" applyFill="1" applyBorder="1"/>
    <xf numFmtId="2" fontId="3" fillId="2" borderId="38" xfId="8" applyNumberFormat="1" applyFont="1" applyFill="1" applyBorder="1"/>
    <xf numFmtId="164" fontId="3" fillId="2" borderId="38" xfId="8" applyNumberFormat="1" applyFont="1" applyFill="1" applyBorder="1"/>
    <xf numFmtId="0" fontId="3" fillId="0" borderId="0" xfId="8" applyFont="1" applyFill="1" applyBorder="1"/>
    <xf numFmtId="0" fontId="3" fillId="2" borderId="39" xfId="8" applyFont="1" applyFill="1" applyBorder="1"/>
    <xf numFmtId="2" fontId="3" fillId="2" borderId="39" xfId="8" applyNumberFormat="1" applyFont="1" applyFill="1" applyBorder="1"/>
    <xf numFmtId="164" fontId="3" fillId="2" borderId="39" xfId="8" applyNumberFormat="1" applyFont="1" applyFill="1" applyBorder="1"/>
    <xf numFmtId="164" fontId="3" fillId="2" borderId="47" xfId="8" applyNumberFormat="1" applyFont="1" applyFill="1" applyBorder="1"/>
    <xf numFmtId="0" fontId="21" fillId="2" borderId="47" xfId="8" applyFont="1" applyFill="1" applyBorder="1" applyAlignment="1">
      <alignment horizontal="right"/>
    </xf>
    <xf numFmtId="2" fontId="21" fillId="2" borderId="48" xfId="8" applyNumberFormat="1" applyFont="1" applyFill="1" applyBorder="1"/>
    <xf numFmtId="0" fontId="24" fillId="0" borderId="0" xfId="8" applyFont="1"/>
    <xf numFmtId="0" fontId="20" fillId="0" borderId="38" xfId="8" applyFont="1" applyBorder="1" applyAlignment="1">
      <alignment horizontal="center"/>
    </xf>
    <xf numFmtId="0" fontId="18" fillId="0" borderId="39" xfId="8" applyBorder="1"/>
    <xf numFmtId="0" fontId="3" fillId="0" borderId="38" xfId="8" applyFont="1" applyBorder="1"/>
    <xf numFmtId="0" fontId="21" fillId="0" borderId="0" xfId="8" applyFont="1" applyAlignment="1">
      <alignment horizontal="right"/>
    </xf>
    <xf numFmtId="0" fontId="3" fillId="0" borderId="38" xfId="8" applyFont="1" applyFill="1" applyBorder="1" applyAlignment="1">
      <alignment horizontal="left"/>
    </xf>
    <xf numFmtId="0" fontId="3" fillId="0" borderId="39" xfId="8" applyFont="1" applyFill="1" applyBorder="1" applyAlignment="1">
      <alignment horizontal="left"/>
    </xf>
    <xf numFmtId="0" fontId="21" fillId="0" borderId="39" xfId="8" applyFont="1" applyFill="1" applyBorder="1" applyAlignment="1">
      <alignment horizontal="right"/>
    </xf>
    <xf numFmtId="0" fontId="3" fillId="0" borderId="62" xfId="8" applyFont="1" applyBorder="1"/>
    <xf numFmtId="0" fontId="3" fillId="0" borderId="63" xfId="8" applyFont="1" applyBorder="1"/>
    <xf numFmtId="0" fontId="3" fillId="2" borderId="39" xfId="8" applyFont="1" applyFill="1" applyBorder="1" applyAlignment="1">
      <alignment horizontal="left"/>
    </xf>
    <xf numFmtId="2" fontId="3" fillId="2" borderId="64" xfId="8" applyNumberFormat="1" applyFont="1" applyFill="1" applyBorder="1"/>
    <xf numFmtId="2" fontId="3" fillId="2" borderId="60" xfId="8" applyNumberFormat="1" applyFont="1" applyFill="1" applyBorder="1"/>
    <xf numFmtId="2" fontId="3" fillId="2" borderId="63" xfId="8" applyNumberFormat="1" applyFont="1" applyFill="1" applyBorder="1"/>
    <xf numFmtId="0" fontId="21" fillId="0" borderId="0" xfId="8" applyFont="1" applyFill="1" applyBorder="1" applyAlignment="1">
      <alignment horizontal="right"/>
    </xf>
    <xf numFmtId="164" fontId="21" fillId="0" borderId="0" xfId="8" applyNumberFormat="1" applyFont="1" applyFill="1" applyBorder="1"/>
    <xf numFmtId="0" fontId="23" fillId="0" borderId="0" xfId="8" applyFont="1" applyFill="1" applyAlignment="1">
      <alignment horizontal="right"/>
    </xf>
    <xf numFmtId="0" fontId="24" fillId="0" borderId="0" xfId="8" applyFont="1" applyFill="1" applyBorder="1" applyAlignment="1"/>
    <xf numFmtId="164" fontId="23" fillId="0" borderId="0" xfId="8" applyNumberFormat="1" applyFont="1" applyFill="1" applyBorder="1"/>
    <xf numFmtId="0" fontId="18" fillId="0" borderId="0" xfId="8" applyFill="1"/>
    <xf numFmtId="0" fontId="3" fillId="0" borderId="38" xfId="8" applyFont="1" applyFill="1" applyBorder="1"/>
    <xf numFmtId="2" fontId="3" fillId="2" borderId="55" xfId="8" applyNumberFormat="1" applyFont="1" applyFill="1" applyBorder="1"/>
    <xf numFmtId="0" fontId="3" fillId="0" borderId="65" xfId="8" applyFont="1" applyBorder="1"/>
    <xf numFmtId="2" fontId="3" fillId="2" borderId="56" xfId="8" applyNumberFormat="1" applyFont="1" applyFill="1" applyBorder="1"/>
    <xf numFmtId="2" fontId="3" fillId="2" borderId="65" xfId="8" applyNumberFormat="1" applyFont="1" applyFill="1" applyBorder="1"/>
    <xf numFmtId="164" fontId="3" fillId="2" borderId="56" xfId="8" applyNumberFormat="1" applyFont="1" applyFill="1" applyBorder="1"/>
    <xf numFmtId="164" fontId="3" fillId="2" borderId="65" xfId="8" applyNumberFormat="1" applyFont="1" applyFill="1" applyBorder="1"/>
    <xf numFmtId="164" fontId="21" fillId="2" borderId="48" xfId="8" applyNumberFormat="1" applyFont="1" applyFill="1" applyBorder="1"/>
    <xf numFmtId="0" fontId="3" fillId="0" borderId="3" xfId="8" applyFont="1" applyFill="1" applyBorder="1"/>
    <xf numFmtId="2" fontId="3" fillId="2" borderId="58" xfId="8" applyNumberFormat="1" applyFont="1" applyFill="1" applyBorder="1"/>
    <xf numFmtId="164" fontId="20" fillId="0" borderId="48" xfId="8" applyNumberFormat="1" applyFont="1" applyBorder="1" applyAlignment="1">
      <alignment horizontal="center"/>
    </xf>
    <xf numFmtId="0" fontId="18" fillId="0" borderId="0" xfId="8" applyFont="1"/>
    <xf numFmtId="0" fontId="18" fillId="0" borderId="38" xfId="8" applyFill="1" applyBorder="1"/>
    <xf numFmtId="0" fontId="18" fillId="0" borderId="39" xfId="8" applyFill="1" applyBorder="1"/>
    <xf numFmtId="0" fontId="18" fillId="0" borderId="0" xfId="8" applyFill="1" applyBorder="1"/>
    <xf numFmtId="0" fontId="27" fillId="0" borderId="0" xfId="8" applyFont="1" applyFill="1" applyBorder="1" applyAlignment="1">
      <alignment horizontal="center"/>
    </xf>
    <xf numFmtId="0" fontId="28" fillId="0" borderId="0" xfId="8" applyFont="1" applyAlignment="1">
      <alignment horizontal="center"/>
    </xf>
    <xf numFmtId="0" fontId="18" fillId="0" borderId="8" xfId="8" applyBorder="1"/>
    <xf numFmtId="0" fontId="18" fillId="0" borderId="3" xfId="8" applyBorder="1"/>
    <xf numFmtId="0" fontId="3" fillId="0" borderId="66" xfId="8" applyFont="1" applyBorder="1"/>
    <xf numFmtId="0" fontId="3" fillId="0" borderId="0" xfId="8" applyFont="1" applyAlignment="1">
      <alignment horizontal="center"/>
    </xf>
    <xf numFmtId="0" fontId="3" fillId="2" borderId="3" xfId="8" applyFont="1" applyFill="1" applyBorder="1"/>
    <xf numFmtId="2" fontId="3" fillId="2" borderId="47" xfId="8" applyNumberFormat="1" applyFont="1" applyFill="1" applyBorder="1"/>
    <xf numFmtId="0" fontId="21" fillId="2" borderId="9" xfId="8" applyFont="1" applyFill="1" applyBorder="1" applyAlignment="1">
      <alignment horizontal="right"/>
    </xf>
    <xf numFmtId="0" fontId="20" fillId="0" borderId="48" xfId="8" applyFont="1" applyBorder="1"/>
    <xf numFmtId="0" fontId="20" fillId="0" borderId="3" xfId="8" applyFont="1" applyBorder="1"/>
    <xf numFmtId="0" fontId="29" fillId="0" borderId="0" xfId="8" applyFont="1" applyFill="1" applyBorder="1"/>
    <xf numFmtId="2" fontId="29" fillId="0" borderId="0" xfId="8" applyNumberFormat="1" applyFont="1" applyFill="1" applyBorder="1"/>
    <xf numFmtId="0" fontId="29" fillId="0" borderId="0" xfId="8" applyFont="1" applyFill="1"/>
    <xf numFmtId="2" fontId="30" fillId="0" borderId="0" xfId="8" applyNumberFormat="1" applyFont="1" applyFill="1" applyBorder="1"/>
    <xf numFmtId="0" fontId="24" fillId="0" borderId="0" xfId="8" applyFont="1" applyFill="1" applyBorder="1"/>
    <xf numFmtId="0" fontId="24" fillId="0" borderId="0" xfId="8" applyFont="1" applyFill="1"/>
    <xf numFmtId="3" fontId="0" fillId="0" borderId="0" xfId="0" applyNumberFormat="1" applyBorder="1"/>
    <xf numFmtId="4" fontId="0" fillId="0" borderId="0" xfId="0" applyNumberFormat="1" applyFill="1" applyBorder="1"/>
    <xf numFmtId="4" fontId="0" fillId="0" borderId="0" xfId="0" applyNumberFormat="1" applyFill="1"/>
    <xf numFmtId="4" fontId="15" fillId="0" borderId="77" xfId="5" applyNumberFormat="1" applyFont="1" applyFill="1" applyBorder="1" applyAlignment="1">
      <alignment horizontal="center" vertical="center"/>
    </xf>
    <xf numFmtId="3" fontId="15" fillId="0" borderId="22" xfId="5" applyNumberFormat="1" applyFont="1" applyBorder="1" applyAlignment="1">
      <alignment horizontal="center" vertical="center" wrapText="1"/>
    </xf>
    <xf numFmtId="3" fontId="11" fillId="0" borderId="32" xfId="5" applyNumberFormat="1" applyFont="1" applyFill="1" applyBorder="1"/>
    <xf numFmtId="3" fontId="11" fillId="0" borderId="32" xfId="5" quotePrefix="1" applyNumberFormat="1" applyFont="1" applyFill="1" applyBorder="1" applyAlignment="1">
      <alignment horizontal="left"/>
    </xf>
    <xf numFmtId="3" fontId="11" fillId="0" borderId="22" xfId="5" quotePrefix="1" applyNumberFormat="1" applyFont="1" applyFill="1" applyBorder="1" applyAlignment="1">
      <alignment horizontal="center"/>
    </xf>
    <xf numFmtId="173" fontId="11" fillId="0" borderId="31" xfId="5" applyNumberFormat="1" applyFont="1" applyFill="1" applyBorder="1"/>
    <xf numFmtId="3" fontId="11" fillId="0" borderId="22" xfId="5" applyNumberFormat="1" applyFill="1" applyBorder="1" applyAlignment="1">
      <alignment horizontal="right" readingOrder="2"/>
    </xf>
    <xf numFmtId="176" fontId="11" fillId="0" borderId="22" xfId="5" applyNumberFormat="1" applyFont="1" applyFill="1" applyBorder="1"/>
    <xf numFmtId="165" fontId="11" fillId="0" borderId="22" xfId="11" applyNumberFormat="1" applyFont="1" applyFill="1" applyBorder="1"/>
    <xf numFmtId="165" fontId="11" fillId="0" borderId="21" xfId="11" applyNumberFormat="1" applyFont="1" applyFill="1" applyBorder="1"/>
    <xf numFmtId="4" fontId="11" fillId="0" borderId="24" xfId="5" applyNumberFormat="1" applyFont="1" applyFill="1" applyBorder="1"/>
    <xf numFmtId="176" fontId="11" fillId="0" borderId="24" xfId="5" applyNumberFormat="1" applyFont="1" applyFill="1" applyBorder="1"/>
    <xf numFmtId="3" fontId="11" fillId="0" borderId="36" xfId="5" applyNumberFormat="1" applyFont="1" applyBorder="1"/>
    <xf numFmtId="176" fontId="15" fillId="0" borderId="24" xfId="5" applyNumberFormat="1" applyFont="1" applyFill="1" applyBorder="1"/>
    <xf numFmtId="9" fontId="15" fillId="0" borderId="24" xfId="11" applyFont="1" applyFill="1" applyBorder="1"/>
    <xf numFmtId="9" fontId="15" fillId="0" borderId="36" xfId="11" applyFont="1" applyFill="1" applyBorder="1"/>
    <xf numFmtId="4" fontId="15" fillId="0" borderId="24" xfId="5" applyNumberFormat="1" applyFont="1" applyBorder="1" applyAlignment="1">
      <alignment horizontal="right" readingOrder="2"/>
    </xf>
    <xf numFmtId="172" fontId="0" fillId="0" borderId="0" xfId="1" applyFont="1"/>
    <xf numFmtId="172" fontId="0" fillId="0" borderId="0" xfId="1" applyFont="1" applyFill="1"/>
    <xf numFmtId="172" fontId="0" fillId="0" borderId="0" xfId="1" applyFont="1" applyBorder="1"/>
    <xf numFmtId="3" fontId="0" fillId="0" borderId="28" xfId="0" applyNumberFormat="1" applyBorder="1"/>
    <xf numFmtId="3" fontId="0" fillId="0" borderId="6" xfId="0" applyNumberFormat="1" applyBorder="1"/>
    <xf numFmtId="4" fontId="11" fillId="0" borderId="19" xfId="5" applyNumberFormat="1" applyBorder="1"/>
    <xf numFmtId="10" fontId="8" fillId="0" borderId="4" xfId="12" applyNumberFormat="1" applyFont="1" applyFill="1" applyBorder="1"/>
    <xf numFmtId="10" fontId="10" fillId="0" borderId="27" xfId="12" applyNumberFormat="1" applyFont="1" applyFill="1" applyBorder="1"/>
    <xf numFmtId="0" fontId="10" fillId="3" borderId="38" xfId="5" applyFont="1" applyFill="1" applyBorder="1"/>
    <xf numFmtId="0" fontId="10" fillId="3" borderId="39" xfId="5" applyFont="1" applyFill="1" applyBorder="1"/>
    <xf numFmtId="0" fontId="10" fillId="3" borderId="44" xfId="5" applyFont="1" applyFill="1" applyBorder="1" applyAlignment="1">
      <alignment horizontal="left"/>
    </xf>
    <xf numFmtId="0" fontId="10" fillId="3" borderId="47" xfId="0" applyFont="1" applyFill="1" applyBorder="1" applyAlignment="1">
      <alignment horizontal="left"/>
    </xf>
    <xf numFmtId="167" fontId="8" fillId="0" borderId="78" xfId="0" applyNumberFormat="1" applyFont="1" applyFill="1" applyBorder="1"/>
    <xf numFmtId="0" fontId="10" fillId="3" borderId="39" xfId="5" applyFont="1" applyFill="1" applyBorder="1" applyAlignment="1">
      <alignment horizontal="left"/>
    </xf>
    <xf numFmtId="167" fontId="8" fillId="0" borderId="50" xfId="0" applyNumberFormat="1" applyFont="1" applyFill="1" applyBorder="1"/>
    <xf numFmtId="167" fontId="8" fillId="0" borderId="51" xfId="0" applyNumberFormat="1" applyFont="1" applyFill="1" applyBorder="1"/>
    <xf numFmtId="167" fontId="8" fillId="0" borderId="79" xfId="0" applyNumberFormat="1" applyFont="1" applyFill="1" applyBorder="1"/>
    <xf numFmtId="167" fontId="8" fillId="3" borderId="32" xfId="0" applyNumberFormat="1" applyFont="1" applyFill="1" applyBorder="1"/>
    <xf numFmtId="166" fontId="9" fillId="5" borderId="81" xfId="0" applyNumberFormat="1" applyFont="1" applyFill="1" applyBorder="1" applyAlignment="1">
      <alignment horizontal="center" vertical="center" wrapText="1"/>
    </xf>
    <xf numFmtId="166" fontId="9" fillId="5" borderId="82" xfId="0" applyNumberFormat="1" applyFont="1" applyFill="1" applyBorder="1" applyAlignment="1">
      <alignment horizontal="center" vertical="center" wrapText="1"/>
    </xf>
    <xf numFmtId="166" fontId="9" fillId="5" borderId="83" xfId="0" applyNumberFormat="1" applyFont="1" applyFill="1" applyBorder="1" applyAlignment="1">
      <alignment horizontal="center" vertical="center" wrapText="1"/>
    </xf>
    <xf numFmtId="166" fontId="9" fillId="5" borderId="84" xfId="0" applyNumberFormat="1" applyFont="1" applyFill="1" applyBorder="1" applyAlignment="1">
      <alignment horizontal="center" vertical="center" wrapText="1"/>
    </xf>
    <xf numFmtId="166" fontId="9" fillId="5" borderId="85" xfId="0" applyNumberFormat="1" applyFont="1" applyFill="1" applyBorder="1" applyAlignment="1">
      <alignment horizontal="center" vertical="center" wrapText="1"/>
    </xf>
    <xf numFmtId="0" fontId="8" fillId="9" borderId="0" xfId="5" applyFont="1" applyFill="1"/>
    <xf numFmtId="167" fontId="8" fillId="9" borderId="0" xfId="5" applyNumberFormat="1" applyFont="1" applyFill="1"/>
    <xf numFmtId="167" fontId="8" fillId="9" borderId="0" xfId="0" applyNumberFormat="1" applyFont="1" applyFill="1" applyBorder="1"/>
    <xf numFmtId="0" fontId="8" fillId="9" borderId="0" xfId="5" applyFont="1" applyFill="1" applyBorder="1"/>
    <xf numFmtId="1" fontId="8" fillId="9" borderId="0" xfId="5" applyNumberFormat="1" applyFont="1" applyFill="1"/>
    <xf numFmtId="168" fontId="8" fillId="9" borderId="0" xfId="5" applyNumberFormat="1" applyFont="1" applyFill="1"/>
    <xf numFmtId="167" fontId="10" fillId="0" borderId="86" xfId="0" applyNumberFormat="1" applyFont="1" applyFill="1" applyBorder="1"/>
    <xf numFmtId="0" fontId="10" fillId="9" borderId="0" xfId="5" applyFont="1" applyFill="1" applyBorder="1"/>
    <xf numFmtId="0" fontId="8" fillId="3" borderId="0" xfId="5" applyFont="1" applyFill="1" applyBorder="1" applyAlignment="1">
      <alignment horizontal="center"/>
    </xf>
    <xf numFmtId="0" fontId="10" fillId="3" borderId="87" xfId="5" applyFont="1" applyFill="1" applyBorder="1"/>
    <xf numFmtId="0" fontId="8" fillId="9" borderId="0" xfId="0" applyFont="1" applyFill="1" applyBorder="1"/>
    <xf numFmtId="168" fontId="8" fillId="9" borderId="0" xfId="5" applyNumberFormat="1" applyFont="1" applyFill="1" applyBorder="1"/>
    <xf numFmtId="168" fontId="8" fillId="9" borderId="0" xfId="0" applyNumberFormat="1" applyFont="1" applyFill="1" applyBorder="1"/>
    <xf numFmtId="167" fontId="8" fillId="9" borderId="0" xfId="5" applyNumberFormat="1" applyFont="1" applyFill="1" applyBorder="1"/>
    <xf numFmtId="167" fontId="10" fillId="9" borderId="0" xfId="0" applyNumberFormat="1" applyFont="1" applyFill="1" applyBorder="1"/>
    <xf numFmtId="167" fontId="8" fillId="3" borderId="89" xfId="0" applyNumberFormat="1" applyFont="1" applyFill="1" applyBorder="1"/>
    <xf numFmtId="167" fontId="8" fillId="3" borderId="33" xfId="0" applyNumberFormat="1" applyFont="1" applyFill="1" applyBorder="1"/>
    <xf numFmtId="167" fontId="8" fillId="3" borderId="90" xfId="0" applyNumberFormat="1" applyFont="1" applyFill="1" applyBorder="1"/>
    <xf numFmtId="167" fontId="8" fillId="3" borderId="51" xfId="0" applyNumberFormat="1" applyFont="1" applyFill="1" applyBorder="1"/>
    <xf numFmtId="167" fontId="8" fillId="3" borderId="79" xfId="0" applyNumberFormat="1" applyFont="1" applyFill="1" applyBorder="1"/>
    <xf numFmtId="167" fontId="8" fillId="3" borderId="91" xfId="0" applyNumberFormat="1" applyFont="1" applyFill="1" applyBorder="1"/>
    <xf numFmtId="167" fontId="8" fillId="0" borderId="89" xfId="0" applyNumberFormat="1" applyFont="1" applyFill="1" applyBorder="1"/>
    <xf numFmtId="167" fontId="8" fillId="0" borderId="90" xfId="0" applyNumberFormat="1" applyFont="1" applyFill="1" applyBorder="1"/>
    <xf numFmtId="167" fontId="8" fillId="3" borderId="92" xfId="0" applyNumberFormat="1" applyFont="1" applyFill="1" applyBorder="1"/>
    <xf numFmtId="167" fontId="8" fillId="0" borderId="92" xfId="0" applyNumberFormat="1" applyFont="1" applyFill="1" applyBorder="1"/>
    <xf numFmtId="167" fontId="8" fillId="0" borderId="91" xfId="0" applyNumberFormat="1" applyFont="1" applyFill="1" applyBorder="1"/>
    <xf numFmtId="165" fontId="8" fillId="0" borderId="88" xfId="12" applyNumberFormat="1" applyFont="1" applyFill="1" applyBorder="1"/>
    <xf numFmtId="165" fontId="8" fillId="0" borderId="28" xfId="12" applyNumberFormat="1" applyFont="1" applyFill="1" applyBorder="1"/>
    <xf numFmtId="0" fontId="10" fillId="3" borderId="38" xfId="5" applyFont="1" applyFill="1" applyBorder="1" applyAlignment="1">
      <alignment horizontal="left"/>
    </xf>
    <xf numFmtId="0" fontId="10" fillId="0" borderId="39" xfId="5" applyFont="1" applyFill="1" applyBorder="1" applyAlignment="1">
      <alignment horizontal="left"/>
    </xf>
    <xf numFmtId="0" fontId="10" fillId="3" borderId="47" xfId="5" applyFont="1" applyFill="1" applyBorder="1"/>
    <xf numFmtId="165" fontId="8" fillId="0" borderId="6" xfId="12" applyNumberFormat="1" applyFont="1" applyFill="1" applyBorder="1"/>
    <xf numFmtId="167" fontId="8" fillId="9" borderId="1" xfId="0" applyNumberFormat="1" applyFont="1" applyFill="1" applyBorder="1"/>
    <xf numFmtId="167" fontId="8" fillId="9" borderId="28" xfId="0" applyNumberFormat="1" applyFont="1" applyFill="1" applyBorder="1"/>
    <xf numFmtId="165" fontId="8" fillId="0" borderId="0" xfId="0" applyNumberFormat="1" applyFont="1" applyFill="1" applyBorder="1"/>
    <xf numFmtId="167" fontId="10" fillId="9" borderId="49" xfId="0" applyNumberFormat="1" applyFont="1" applyFill="1" applyBorder="1"/>
    <xf numFmtId="167" fontId="8" fillId="9" borderId="49" xfId="0" applyNumberFormat="1" applyFont="1" applyFill="1" applyBorder="1"/>
    <xf numFmtId="165" fontId="8" fillId="0" borderId="11" xfId="12" applyNumberFormat="1" applyFont="1" applyFill="1" applyBorder="1" applyAlignment="1">
      <alignment horizontal="right"/>
    </xf>
    <xf numFmtId="0" fontId="10" fillId="0" borderId="38" xfId="5" applyFont="1" applyFill="1" applyBorder="1" applyAlignment="1">
      <alignment horizontal="left"/>
    </xf>
    <xf numFmtId="0" fontId="10" fillId="0" borderId="7" xfId="5" applyFont="1" applyFill="1" applyBorder="1"/>
    <xf numFmtId="166" fontId="9" fillId="5" borderId="81" xfId="5" applyNumberFormat="1" applyFont="1" applyFill="1" applyBorder="1" applyAlignment="1">
      <alignment horizontal="center" vertical="center" wrapText="1"/>
    </xf>
    <xf numFmtId="166" fontId="9" fillId="5" borderId="82" xfId="5" applyNumberFormat="1" applyFont="1" applyFill="1" applyBorder="1" applyAlignment="1">
      <alignment horizontal="center" vertical="center" wrapText="1"/>
    </xf>
    <xf numFmtId="166" fontId="9" fillId="5" borderId="83" xfId="5" applyNumberFormat="1" applyFont="1" applyFill="1" applyBorder="1" applyAlignment="1">
      <alignment horizontal="center" vertical="center" wrapText="1"/>
    </xf>
    <xf numFmtId="166" fontId="9" fillId="5" borderId="84" xfId="5" applyNumberFormat="1" applyFont="1" applyFill="1" applyBorder="1" applyAlignment="1">
      <alignment horizontal="center" vertical="center" wrapText="1"/>
    </xf>
    <xf numFmtId="0" fontId="10" fillId="0" borderId="44" xfId="5" applyFont="1" applyFill="1" applyBorder="1" applyAlignment="1">
      <alignment horizontal="left"/>
    </xf>
    <xf numFmtId="167" fontId="8" fillId="0" borderId="32" xfId="0" applyNumberFormat="1" applyFont="1" applyFill="1" applyBorder="1" applyAlignment="1">
      <alignment horizontal="right"/>
    </xf>
    <xf numFmtId="3" fontId="11" fillId="0" borderId="30" xfId="0" applyNumberFormat="1" applyFont="1" applyFill="1" applyBorder="1"/>
    <xf numFmtId="3" fontId="0" fillId="0" borderId="53" xfId="0" applyNumberFormat="1" applyFill="1" applyBorder="1" applyAlignment="1">
      <alignment horizontal="center"/>
    </xf>
    <xf numFmtId="176" fontId="11" fillId="0" borderId="53" xfId="0" applyNumberFormat="1" applyFont="1" applyFill="1" applyBorder="1"/>
    <xf numFmtId="165" fontId="11" fillId="0" borderId="53" xfId="11" applyNumberFormat="1" applyFont="1" applyFill="1" applyBorder="1"/>
    <xf numFmtId="165" fontId="11" fillId="0" borderId="93" xfId="11" applyNumberFormat="1" applyFont="1" applyFill="1" applyBorder="1"/>
    <xf numFmtId="176" fontId="11" fillId="0" borderId="94" xfId="0" applyNumberFormat="1" applyFont="1" applyFill="1" applyBorder="1"/>
    <xf numFmtId="3" fontId="0" fillId="0" borderId="93" xfId="0" applyNumberFormat="1" applyBorder="1"/>
    <xf numFmtId="3" fontId="11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176" fontId="11" fillId="0" borderId="0" xfId="0" applyNumberFormat="1" applyFont="1" applyFill="1" applyBorder="1"/>
    <xf numFmtId="165" fontId="11" fillId="0" borderId="0" xfId="11" applyNumberFormat="1" applyFont="1" applyFill="1" applyBorder="1"/>
    <xf numFmtId="3" fontId="11" fillId="0" borderId="95" xfId="0" applyNumberFormat="1" applyFont="1" applyFill="1" applyBorder="1"/>
    <xf numFmtId="3" fontId="0" fillId="0" borderId="96" xfId="0" applyNumberFormat="1" applyFill="1" applyBorder="1" applyAlignment="1">
      <alignment horizontal="center"/>
    </xf>
    <xf numFmtId="176" fontId="11" fillId="0" borderId="96" xfId="0" applyNumberFormat="1" applyFont="1" applyFill="1" applyBorder="1"/>
    <xf numFmtId="165" fontId="11" fillId="0" borderId="96" xfId="11" applyNumberFormat="1" applyFont="1" applyFill="1" applyBorder="1"/>
    <xf numFmtId="165" fontId="11" fillId="0" borderId="97" xfId="11" applyNumberFormat="1" applyFont="1" applyFill="1" applyBorder="1"/>
    <xf numFmtId="0" fontId="0" fillId="0" borderId="98" xfId="0" applyBorder="1"/>
    <xf numFmtId="3" fontId="0" fillId="0" borderId="97" xfId="0" applyNumberFormat="1" applyBorder="1"/>
    <xf numFmtId="3" fontId="0" fillId="0" borderId="0" xfId="0" applyNumberFormat="1" applyFill="1" applyAlignment="1">
      <alignment horizontal="center"/>
    </xf>
    <xf numFmtId="4" fontId="16" fillId="0" borderId="0" xfId="0" applyNumberFormat="1" applyFont="1" applyFill="1" applyBorder="1"/>
    <xf numFmtId="3" fontId="15" fillId="0" borderId="25" xfId="0" applyNumberFormat="1" applyFont="1" applyFill="1" applyBorder="1"/>
    <xf numFmtId="3" fontId="15" fillId="0" borderId="26" xfId="0" applyNumberFormat="1" applyFont="1" applyFill="1" applyBorder="1" applyAlignment="1">
      <alignment horizontal="center"/>
    </xf>
    <xf numFmtId="176" fontId="15" fillId="0" borderId="26" xfId="0" applyNumberFormat="1" applyFont="1" applyFill="1" applyBorder="1"/>
    <xf numFmtId="9" fontId="15" fillId="0" borderId="26" xfId="11" applyFont="1" applyFill="1" applyBorder="1"/>
    <xf numFmtId="9" fontId="15" fillId="0" borderId="27" xfId="11" applyFont="1" applyFill="1" applyBorder="1"/>
    <xf numFmtId="9" fontId="15" fillId="0" borderId="52" xfId="11" applyFont="1" applyFill="1" applyBorder="1"/>
    <xf numFmtId="9" fontId="15" fillId="0" borderId="86" xfId="11" applyFont="1" applyFill="1" applyBorder="1"/>
    <xf numFmtId="176" fontId="11" fillId="0" borderId="1" xfId="0" applyNumberFormat="1" applyFont="1" applyFill="1" applyBorder="1"/>
    <xf numFmtId="176" fontId="15" fillId="0" borderId="1" xfId="0" applyNumberFormat="1" applyFont="1" applyFill="1" applyBorder="1"/>
    <xf numFmtId="3" fontId="11" fillId="0" borderId="24" xfId="0" applyNumberFormat="1" applyFont="1" applyFill="1" applyBorder="1"/>
    <xf numFmtId="3" fontId="0" fillId="0" borderId="51" xfId="0" applyNumberFormat="1" applyFill="1" applyBorder="1"/>
    <xf numFmtId="3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4" fontId="15" fillId="0" borderId="20" xfId="0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center" vertical="center" wrapText="1"/>
    </xf>
    <xf numFmtId="4" fontId="15" fillId="0" borderId="77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3" fontId="0" fillId="0" borderId="32" xfId="0" applyNumberFormat="1" applyFill="1" applyBorder="1"/>
    <xf numFmtId="3" fontId="0" fillId="0" borderId="22" xfId="0" applyNumberFormat="1" applyFill="1" applyBorder="1" applyAlignment="1">
      <alignment horizontal="center"/>
    </xf>
    <xf numFmtId="3" fontId="11" fillId="0" borderId="22" xfId="0" applyNumberFormat="1" applyFont="1" applyFill="1" applyBorder="1" applyAlignment="1">
      <alignment horizontal="center"/>
    </xf>
    <xf numFmtId="3" fontId="0" fillId="0" borderId="22" xfId="0" applyNumberFormat="1" applyFill="1" applyBorder="1"/>
    <xf numFmtId="4" fontId="16" fillId="0" borderId="22" xfId="0" applyNumberFormat="1" applyFont="1" applyFill="1" applyBorder="1" applyAlignment="1">
      <alignment horizontal="center"/>
    </xf>
    <xf numFmtId="4" fontId="0" fillId="0" borderId="22" xfId="0" applyNumberFormat="1" applyFill="1" applyBorder="1"/>
    <xf numFmtId="4" fontId="0" fillId="0" borderId="31" xfId="0" applyNumberFormat="1" applyBorder="1"/>
    <xf numFmtId="0" fontId="11" fillId="0" borderId="22" xfId="0" applyFont="1" applyFill="1" applyBorder="1" applyAlignment="1">
      <alignment horizontal="right" readingOrder="2"/>
    </xf>
    <xf numFmtId="4" fontId="0" fillId="0" borderId="22" xfId="0" applyNumberFormat="1" applyBorder="1"/>
    <xf numFmtId="3" fontId="17" fillId="0" borderId="32" xfId="0" applyNumberFormat="1" applyFont="1" applyFill="1" applyBorder="1"/>
    <xf numFmtId="3" fontId="17" fillId="0" borderId="22" xfId="0" applyNumberFormat="1" applyFont="1" applyFill="1" applyBorder="1" applyAlignment="1">
      <alignment horizontal="center"/>
    </xf>
    <xf numFmtId="4" fontId="11" fillId="0" borderId="22" xfId="0" applyNumberFormat="1" applyFont="1" applyFill="1" applyBorder="1"/>
    <xf numFmtId="3" fontId="16" fillId="0" borderId="32" xfId="0" applyNumberFormat="1" applyFont="1" applyFill="1" applyBorder="1" applyAlignment="1">
      <alignment horizontal="left"/>
    </xf>
    <xf numFmtId="3" fontId="16" fillId="0" borderId="22" xfId="0" applyNumberFormat="1" applyFont="1" applyFill="1" applyBorder="1" applyAlignment="1">
      <alignment horizontal="center"/>
    </xf>
    <xf numFmtId="3" fontId="16" fillId="0" borderId="32" xfId="0" quotePrefix="1" applyNumberFormat="1" applyFont="1" applyFill="1" applyBorder="1" applyAlignment="1">
      <alignment horizontal="left"/>
    </xf>
    <xf numFmtId="3" fontId="16" fillId="0" borderId="22" xfId="0" quotePrefix="1" applyNumberFormat="1" applyFont="1" applyFill="1" applyBorder="1" applyAlignment="1">
      <alignment horizontal="center"/>
    </xf>
    <xf numFmtId="3" fontId="16" fillId="0" borderId="32" xfId="0" applyNumberFormat="1" applyFont="1" applyFill="1" applyBorder="1"/>
    <xf numFmtId="3" fontId="39" fillId="0" borderId="32" xfId="0" applyNumberFormat="1" applyFont="1" applyFill="1" applyBorder="1"/>
    <xf numFmtId="3" fontId="39" fillId="0" borderId="22" xfId="0" applyNumberFormat="1" applyFont="1" applyFill="1" applyBorder="1" applyAlignment="1">
      <alignment horizontal="center"/>
    </xf>
    <xf numFmtId="4" fontId="16" fillId="0" borderId="22" xfId="0" applyNumberFormat="1" applyFont="1" applyFill="1" applyBorder="1"/>
    <xf numFmtId="4" fontId="15" fillId="0" borderId="26" xfId="0" applyNumberFormat="1" applyFont="1" applyFill="1" applyBorder="1"/>
    <xf numFmtId="4" fontId="15" fillId="9" borderId="52" xfId="0" applyNumberFormat="1" applyFont="1" applyFill="1" applyBorder="1"/>
    <xf numFmtId="4" fontId="15" fillId="9" borderId="26" xfId="0" applyNumberFormat="1" applyFont="1" applyFill="1" applyBorder="1" applyAlignment="1">
      <alignment horizontal="right" readingOrder="2"/>
    </xf>
    <xf numFmtId="4" fontId="15" fillId="9" borderId="26" xfId="0" applyNumberFormat="1" applyFont="1" applyFill="1" applyBorder="1"/>
    <xf numFmtId="173" fontId="11" fillId="0" borderId="22" xfId="0" applyNumberFormat="1" applyFont="1" applyFill="1" applyBorder="1"/>
    <xf numFmtId="173" fontId="11" fillId="0" borderId="31" xfId="0" applyNumberFormat="1" applyFont="1" applyFill="1" applyBorder="1"/>
    <xf numFmtId="3" fontId="0" fillId="0" borderId="22" xfId="0" applyNumberFormat="1" applyBorder="1" applyAlignment="1">
      <alignment horizontal="right" readingOrder="2"/>
    </xf>
    <xf numFmtId="176" fontId="11" fillId="0" borderId="22" xfId="0" applyNumberFormat="1" applyFont="1" applyFill="1" applyBorder="1"/>
    <xf numFmtId="165" fontId="11" fillId="0" borderId="31" xfId="11" applyNumberFormat="1" applyFont="1" applyFill="1" applyBorder="1"/>
    <xf numFmtId="3" fontId="0" fillId="0" borderId="24" xfId="0" applyNumberFormat="1" applyFill="1" applyBorder="1" applyAlignment="1">
      <alignment horizontal="center"/>
    </xf>
    <xf numFmtId="4" fontId="11" fillId="0" borderId="24" xfId="0" applyNumberFormat="1" applyFont="1" applyFill="1" applyBorder="1"/>
    <xf numFmtId="176" fontId="11" fillId="0" borderId="24" xfId="0" applyNumberFormat="1" applyFont="1" applyFill="1" applyBorder="1"/>
    <xf numFmtId="3" fontId="11" fillId="0" borderId="24" xfId="0" applyNumberFormat="1" applyFont="1" applyBorder="1"/>
    <xf numFmtId="3" fontId="0" fillId="0" borderId="24" xfId="0" applyNumberFormat="1" applyBorder="1" applyAlignment="1">
      <alignment horizontal="right" readingOrder="2"/>
    </xf>
    <xf numFmtId="3" fontId="11" fillId="0" borderId="35" xfId="0" applyNumberFormat="1" applyFont="1" applyBorder="1"/>
    <xf numFmtId="3" fontId="15" fillId="0" borderId="24" xfId="0" applyNumberFormat="1" applyFont="1" applyFill="1" applyBorder="1" applyAlignment="1">
      <alignment horizontal="center"/>
    </xf>
    <xf numFmtId="176" fontId="15" fillId="0" borderId="24" xfId="0" applyNumberFormat="1" applyFont="1" applyFill="1" applyBorder="1"/>
    <xf numFmtId="4" fontId="15" fillId="0" borderId="24" xfId="0" applyNumberFormat="1" applyFont="1" applyBorder="1" applyAlignment="1">
      <alignment horizontal="right" readingOrder="2"/>
    </xf>
    <xf numFmtId="9" fontId="15" fillId="0" borderId="35" xfId="11" applyFont="1" applyFill="1" applyBorder="1"/>
    <xf numFmtId="4" fontId="16" fillId="0" borderId="0" xfId="0" applyNumberFormat="1" applyFont="1" applyFill="1"/>
    <xf numFmtId="3" fontId="0" fillId="0" borderId="31" xfId="0" applyNumberFormat="1" applyBorder="1"/>
    <xf numFmtId="167" fontId="8" fillId="3" borderId="34" xfId="0" applyNumberFormat="1" applyFont="1" applyFill="1" applyBorder="1"/>
    <xf numFmtId="167" fontId="8" fillId="3" borderId="78" xfId="0" applyNumberFormat="1" applyFont="1" applyFill="1" applyBorder="1"/>
    <xf numFmtId="165" fontId="8" fillId="0" borderId="5" xfId="12" applyNumberFormat="1" applyFont="1" applyFill="1" applyBorder="1"/>
    <xf numFmtId="3" fontId="0" fillId="9" borderId="0" xfId="0" applyNumberFormat="1" applyFill="1" applyBorder="1"/>
    <xf numFmtId="165" fontId="31" fillId="9" borderId="0" xfId="9" applyNumberFormat="1" applyFont="1" applyFill="1" applyBorder="1"/>
    <xf numFmtId="3" fontId="5" fillId="9" borderId="0" xfId="0" applyNumberFormat="1" applyFont="1" applyFill="1" applyBorder="1"/>
    <xf numFmtId="3" fontId="34" fillId="9" borderId="0" xfId="0" applyNumberFormat="1" applyFont="1" applyFill="1" applyBorder="1"/>
    <xf numFmtId="165" fontId="5" fillId="9" borderId="0" xfId="9" applyNumberFormat="1" applyFont="1" applyFill="1" applyBorder="1"/>
    <xf numFmtId="3" fontId="34" fillId="9" borderId="0" xfId="0" applyNumberFormat="1" applyFont="1" applyFill="1" applyBorder="1" applyAlignment="1">
      <alignment horizontal="right" readingOrder="2"/>
    </xf>
    <xf numFmtId="165" fontId="34" fillId="9" borderId="0" xfId="9" applyNumberFormat="1" applyFont="1" applyFill="1" applyBorder="1"/>
    <xf numFmtId="0" fontId="34" fillId="9" borderId="0" xfId="0" applyFont="1" applyFill="1" applyBorder="1"/>
    <xf numFmtId="0" fontId="34" fillId="9" borderId="0" xfId="0" applyFont="1" applyFill="1" applyBorder="1" applyAlignment="1">
      <alignment horizontal="center" wrapText="1"/>
    </xf>
    <xf numFmtId="9" fontId="0" fillId="9" borderId="0" xfId="9" applyFont="1" applyFill="1" applyBorder="1"/>
    <xf numFmtId="3" fontId="0" fillId="9" borderId="0" xfId="0" applyNumberFormat="1" applyFill="1" applyBorder="1" applyAlignment="1">
      <alignment horizontal="right"/>
    </xf>
    <xf numFmtId="0" fontId="0" fillId="9" borderId="0" xfId="0" applyFill="1" applyBorder="1"/>
    <xf numFmtId="3" fontId="33" fillId="9" borderId="0" xfId="0" applyNumberFormat="1" applyFont="1" applyFill="1" applyBorder="1"/>
    <xf numFmtId="0" fontId="34" fillId="9" borderId="0" xfId="0" applyFont="1" applyFill="1" applyBorder="1" applyAlignment="1">
      <alignment horizontal="center"/>
    </xf>
    <xf numFmtId="2" fontId="0" fillId="9" borderId="0" xfId="0" applyNumberFormat="1" applyFill="1" applyBorder="1"/>
    <xf numFmtId="4" fontId="0" fillId="9" borderId="0" xfId="0" applyNumberFormat="1" applyFill="1" applyBorder="1"/>
    <xf numFmtId="9" fontId="31" fillId="9" borderId="0" xfId="9" applyFont="1" applyFill="1" applyBorder="1"/>
    <xf numFmtId="0" fontId="53" fillId="9" borderId="0" xfId="0" applyFont="1" applyFill="1" applyBorder="1" applyAlignment="1">
      <alignment horizontal="center"/>
    </xf>
    <xf numFmtId="165" fontId="31" fillId="9" borderId="0" xfId="9" applyNumberFormat="1" applyFont="1" applyFill="1" applyBorder="1" applyAlignment="1">
      <alignment horizontal="right" indent="1"/>
    </xf>
    <xf numFmtId="165" fontId="34" fillId="9" borderId="0" xfId="9" applyNumberFormat="1" applyFont="1" applyFill="1" applyBorder="1" applyAlignment="1">
      <alignment horizontal="right" indent="1"/>
    </xf>
    <xf numFmtId="0" fontId="0" fillId="9" borderId="0" xfId="0" applyFill="1" applyBorder="1" applyAlignment="1">
      <alignment horizontal="left" indent="1"/>
    </xf>
    <xf numFmtId="0" fontId="42" fillId="11" borderId="0" xfId="0" applyFont="1" applyFill="1" applyBorder="1"/>
    <xf numFmtId="165" fontId="42" fillId="9" borderId="0" xfId="9" applyNumberFormat="1" applyFont="1" applyFill="1" applyBorder="1"/>
    <xf numFmtId="0" fontId="55" fillId="9" borderId="0" xfId="0" applyFont="1" applyFill="1" applyBorder="1"/>
    <xf numFmtId="0" fontId="53" fillId="10" borderId="0" xfId="0" applyFont="1" applyFill="1" applyBorder="1" applyAlignment="1">
      <alignment horizontal="center" wrapText="1"/>
    </xf>
    <xf numFmtId="3" fontId="42" fillId="11" borderId="0" xfId="0" applyNumberFormat="1" applyFont="1" applyFill="1" applyBorder="1"/>
    <xf numFmtId="165" fontId="42" fillId="11" borderId="0" xfId="9" applyNumberFormat="1" applyFont="1" applyFill="1" applyBorder="1" applyAlignment="1">
      <alignment horizontal="right" indent="1"/>
    </xf>
    <xf numFmtId="0" fontId="13" fillId="9" borderId="0" xfId="6" applyFont="1" applyFill="1" applyBorder="1"/>
    <xf numFmtId="3" fontId="6" fillId="9" borderId="0" xfId="6" applyNumberFormat="1" applyFont="1" applyFill="1" applyBorder="1"/>
    <xf numFmtId="3" fontId="13" fillId="9" borderId="0" xfId="6" applyNumberFormat="1" applyFont="1" applyFill="1" applyBorder="1"/>
    <xf numFmtId="0" fontId="6" fillId="9" borderId="0" xfId="6" applyFont="1" applyFill="1" applyBorder="1"/>
    <xf numFmtId="4" fontId="6" fillId="9" borderId="0" xfId="6" applyNumberFormat="1" applyFont="1" applyFill="1" applyBorder="1"/>
    <xf numFmtId="0" fontId="32" fillId="9" borderId="0" xfId="6" applyFill="1" applyBorder="1"/>
    <xf numFmtId="174" fontId="6" fillId="9" borderId="0" xfId="6" applyNumberFormat="1" applyFont="1" applyFill="1" applyBorder="1" applyAlignment="1">
      <alignment horizontal="center" wrapText="1"/>
    </xf>
    <xf numFmtId="0" fontId="6" fillId="9" borderId="0" xfId="6" applyFont="1" applyFill="1" applyBorder="1" applyAlignment="1">
      <alignment horizontal="center"/>
    </xf>
    <xf numFmtId="164" fontId="6" fillId="9" borderId="0" xfId="6" applyNumberFormat="1" applyFont="1" applyFill="1" applyBorder="1" applyAlignment="1">
      <alignment horizontal="right"/>
    </xf>
    <xf numFmtId="164" fontId="13" fillId="9" borderId="0" xfId="6" applyNumberFormat="1" applyFont="1" applyFill="1" applyBorder="1" applyAlignment="1">
      <alignment horizontal="right"/>
    </xf>
    <xf numFmtId="0" fontId="31" fillId="9" borderId="0" xfId="7" applyFill="1" applyBorder="1"/>
    <xf numFmtId="164" fontId="32" fillId="9" borderId="0" xfId="6" applyNumberFormat="1" applyFill="1" applyBorder="1"/>
    <xf numFmtId="4" fontId="13" fillId="9" borderId="0" xfId="6" applyNumberFormat="1" applyFont="1" applyFill="1" applyBorder="1"/>
    <xf numFmtId="171" fontId="13" fillId="9" borderId="0" xfId="6" applyNumberFormat="1" applyFont="1" applyFill="1" applyBorder="1" applyAlignment="1">
      <alignment horizontal="right"/>
    </xf>
    <xf numFmtId="0" fontId="6" fillId="8" borderId="0" xfId="6" applyFont="1" applyFill="1" applyBorder="1"/>
    <xf numFmtId="3" fontId="6" fillId="8" borderId="0" xfId="6" applyNumberFormat="1" applyFont="1" applyFill="1" applyBorder="1"/>
    <xf numFmtId="0" fontId="13" fillId="9" borderId="0" xfId="6" applyFont="1" applyFill="1" applyBorder="1" applyAlignment="1">
      <alignment horizontal="left" indent="1"/>
    </xf>
    <xf numFmtId="0" fontId="56" fillId="8" borderId="0" xfId="6" applyFont="1" applyFill="1" applyBorder="1"/>
    <xf numFmtId="0" fontId="56" fillId="9" borderId="0" xfId="6" applyFont="1" applyFill="1" applyBorder="1"/>
    <xf numFmtId="3" fontId="56" fillId="8" borderId="0" xfId="6" applyNumberFormat="1" applyFont="1" applyFill="1" applyBorder="1"/>
    <xf numFmtId="3" fontId="56" fillId="9" borderId="0" xfId="6" applyNumberFormat="1" applyFont="1" applyFill="1" applyBorder="1"/>
    <xf numFmtId="0" fontId="33" fillId="9" borderId="0" xfId="0" applyFont="1" applyFill="1" applyBorder="1"/>
    <xf numFmtId="0" fontId="6" fillId="9" borderId="0" xfId="6" applyFont="1" applyFill="1" applyBorder="1" applyAlignment="1"/>
    <xf numFmtId="0" fontId="33" fillId="9" borderId="0" xfId="0" applyFont="1" applyFill="1" applyBorder="1" applyAlignment="1">
      <alignment wrapText="1"/>
    </xf>
    <xf numFmtId="174" fontId="54" fillId="9" borderId="0" xfId="6" applyNumberFormat="1" applyFont="1" applyFill="1" applyBorder="1" applyAlignment="1">
      <alignment horizontal="center" vertical="center" wrapText="1"/>
    </xf>
    <xf numFmtId="0" fontId="53" fillId="10" borderId="0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right" wrapText="1"/>
    </xf>
    <xf numFmtId="0" fontId="35" fillId="9" borderId="0" xfId="0" applyFont="1" applyFill="1" applyBorder="1" applyAlignment="1">
      <alignment horizontal="left" vertical="center" wrapText="1"/>
    </xf>
    <xf numFmtId="0" fontId="6" fillId="8" borderId="0" xfId="6" applyFont="1" applyFill="1" applyBorder="1" applyAlignment="1"/>
    <xf numFmtId="0" fontId="35" fillId="9" borderId="0" xfId="0" applyFont="1" applyFill="1" applyBorder="1" applyAlignment="1">
      <alignment horizontal="right" vertical="center"/>
    </xf>
    <xf numFmtId="0" fontId="35" fillId="9" borderId="0" xfId="0" applyFont="1" applyFill="1" applyBorder="1" applyAlignment="1">
      <alignment horizontal="right" vertical="center" wrapText="1"/>
    </xf>
    <xf numFmtId="4" fontId="33" fillId="9" borderId="0" xfId="0" applyNumberFormat="1" applyFont="1" applyFill="1" applyBorder="1"/>
    <xf numFmtId="0" fontId="0" fillId="9" borderId="0" xfId="0" applyFill="1"/>
    <xf numFmtId="0" fontId="53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vertical="center"/>
    </xf>
    <xf numFmtId="0" fontId="36" fillId="9" borderId="0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36" fillId="9" borderId="0" xfId="0" applyFont="1" applyFill="1" applyBorder="1" applyAlignment="1">
      <alignment horizontal="center" vertical="center" wrapText="1"/>
    </xf>
    <xf numFmtId="165" fontId="4" fillId="9" borderId="0" xfId="9" applyNumberFormat="1" applyFont="1" applyFill="1" applyBorder="1"/>
    <xf numFmtId="0" fontId="36" fillId="9" borderId="0" xfId="0" applyFont="1" applyFill="1" applyBorder="1" applyAlignment="1">
      <alignment vertical="center"/>
    </xf>
    <xf numFmtId="165" fontId="36" fillId="9" borderId="0" xfId="0" applyNumberFormat="1" applyFont="1" applyFill="1" applyBorder="1" applyAlignment="1">
      <alignment vertical="center"/>
    </xf>
    <xf numFmtId="164" fontId="33" fillId="9" borderId="0" xfId="0" applyNumberFormat="1" applyFont="1" applyFill="1" applyBorder="1"/>
    <xf numFmtId="0" fontId="33" fillId="9" borderId="0" xfId="0" applyFont="1" applyFill="1" applyBorder="1" applyAlignment="1">
      <alignment vertical="top"/>
    </xf>
    <xf numFmtId="44" fontId="4" fillId="9" borderId="0" xfId="0" applyNumberFormat="1" applyFont="1" applyFill="1" applyBorder="1"/>
    <xf numFmtId="44" fontId="33" fillId="9" borderId="0" xfId="0" applyNumberFormat="1" applyFont="1" applyFill="1" applyBorder="1"/>
    <xf numFmtId="0" fontId="34" fillId="9" borderId="0" xfId="0" applyFont="1" applyFill="1" applyBorder="1" applyAlignment="1">
      <alignment vertical="center"/>
    </xf>
    <xf numFmtId="3" fontId="34" fillId="9" borderId="0" xfId="0" applyNumberFormat="1" applyFont="1" applyFill="1" applyBorder="1" applyAlignment="1">
      <alignment vertical="center"/>
    </xf>
    <xf numFmtId="165" fontId="34" fillId="9" borderId="0" xfId="9" applyNumberFormat="1" applyFont="1" applyFill="1" applyBorder="1" applyAlignment="1">
      <alignment vertical="center"/>
    </xf>
    <xf numFmtId="0" fontId="37" fillId="9" borderId="0" xfId="0" applyFont="1" applyFill="1" applyBorder="1" applyAlignment="1">
      <alignment vertical="center"/>
    </xf>
    <xf numFmtId="170" fontId="37" fillId="9" borderId="0" xfId="0" applyNumberFormat="1" applyFont="1" applyFill="1" applyBorder="1" applyAlignment="1">
      <alignment vertical="center"/>
    </xf>
    <xf numFmtId="165" fontId="33" fillId="9" borderId="0" xfId="9" applyNumberFormat="1" applyFont="1" applyFill="1" applyBorder="1" applyAlignment="1">
      <alignment vertical="center"/>
    </xf>
    <xf numFmtId="165" fontId="33" fillId="9" borderId="0" xfId="9" applyNumberFormat="1" applyFont="1" applyFill="1" applyBorder="1"/>
    <xf numFmtId="0" fontId="33" fillId="9" borderId="0" xfId="0" applyFont="1" applyFill="1" applyBorder="1" applyAlignment="1">
      <alignment vertical="center"/>
    </xf>
    <xf numFmtId="3" fontId="33" fillId="9" borderId="0" xfId="0" applyNumberFormat="1" applyFont="1" applyFill="1" applyBorder="1" applyAlignment="1">
      <alignment vertical="center"/>
    </xf>
    <xf numFmtId="165" fontId="33" fillId="9" borderId="0" xfId="0" applyNumberFormat="1" applyFont="1" applyFill="1" applyBorder="1"/>
    <xf numFmtId="3" fontId="35" fillId="9" borderId="0" xfId="0" applyNumberFormat="1" applyFont="1" applyFill="1" applyBorder="1" applyAlignment="1">
      <alignment horizontal="right" vertical="center" indent="1"/>
    </xf>
    <xf numFmtId="3" fontId="36" fillId="9" borderId="0" xfId="0" applyNumberFormat="1" applyFont="1" applyFill="1" applyBorder="1" applyAlignment="1">
      <alignment horizontal="right" vertical="center" indent="1"/>
    </xf>
    <xf numFmtId="165" fontId="4" fillId="9" borderId="0" xfId="9" applyNumberFormat="1" applyFont="1" applyFill="1" applyBorder="1" applyAlignment="1">
      <alignment horizontal="right" indent="1"/>
    </xf>
    <xf numFmtId="165" fontId="36" fillId="9" borderId="0" xfId="0" applyNumberFormat="1" applyFont="1" applyFill="1" applyBorder="1" applyAlignment="1">
      <alignment horizontal="right" vertical="center" indent="1"/>
    </xf>
    <xf numFmtId="0" fontId="35" fillId="9" borderId="0" xfId="0" applyFont="1" applyFill="1" applyBorder="1" applyAlignment="1">
      <alignment horizontal="right" vertical="center" indent="1"/>
    </xf>
    <xf numFmtId="0" fontId="34" fillId="9" borderId="0" xfId="0" applyFont="1" applyFill="1" applyBorder="1" applyAlignment="1">
      <alignment horizontal="right" vertical="center"/>
    </xf>
    <xf numFmtId="165" fontId="34" fillId="9" borderId="0" xfId="9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right" vertical="center"/>
    </xf>
    <xf numFmtId="165" fontId="33" fillId="9" borderId="0" xfId="9" applyNumberFormat="1" applyFont="1" applyFill="1" applyBorder="1" applyAlignment="1">
      <alignment horizontal="right" vertical="center"/>
    </xf>
    <xf numFmtId="2" fontId="33" fillId="9" borderId="0" xfId="0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left" vertical="center" indent="2"/>
    </xf>
    <xf numFmtId="0" fontId="33" fillId="9" borderId="0" xfId="0" applyFont="1" applyFill="1" applyBorder="1" applyAlignment="1">
      <alignment vertical="center" wrapText="1"/>
    </xf>
    <xf numFmtId="0" fontId="34" fillId="9" borderId="0" xfId="0" applyFont="1" applyFill="1" applyBorder="1" applyAlignment="1">
      <alignment horizontal="right" vertical="center" wrapText="1"/>
    </xf>
    <xf numFmtId="4" fontId="33" fillId="9" borderId="0" xfId="0" applyNumberFormat="1" applyFont="1" applyFill="1" applyBorder="1" applyAlignment="1">
      <alignment vertical="center"/>
    </xf>
    <xf numFmtId="2" fontId="33" fillId="9" borderId="0" xfId="0" applyNumberFormat="1" applyFont="1" applyFill="1" applyBorder="1" applyAlignment="1">
      <alignment vertical="center"/>
    </xf>
    <xf numFmtId="165" fontId="34" fillId="9" borderId="0" xfId="0" applyNumberFormat="1" applyFont="1" applyFill="1" applyBorder="1" applyAlignment="1">
      <alignment horizontal="right" vertical="center" wrapText="1"/>
    </xf>
    <xf numFmtId="0" fontId="36" fillId="9" borderId="0" xfId="0" applyFont="1" applyFill="1" applyBorder="1" applyAlignment="1">
      <alignment horizontal="right" vertical="center"/>
    </xf>
    <xf numFmtId="0" fontId="36" fillId="9" borderId="0" xfId="0" applyFont="1" applyFill="1" applyBorder="1" applyAlignment="1">
      <alignment horizontal="right" vertical="center" wrapText="1"/>
    </xf>
    <xf numFmtId="2" fontId="35" fillId="9" borderId="0" xfId="0" applyNumberFormat="1" applyFont="1" applyFill="1" applyBorder="1" applyAlignment="1">
      <alignment horizontal="right" vertical="center"/>
    </xf>
    <xf numFmtId="2" fontId="36" fillId="9" borderId="0" xfId="0" applyNumberFormat="1" applyFont="1" applyFill="1" applyBorder="1" applyAlignment="1">
      <alignment horizontal="right" vertical="center"/>
    </xf>
    <xf numFmtId="0" fontId="34" fillId="9" borderId="0" xfId="0" applyFont="1" applyFill="1" applyBorder="1" applyAlignment="1">
      <alignment horizontal="right"/>
    </xf>
    <xf numFmtId="3" fontId="34" fillId="9" borderId="0" xfId="0" applyNumberFormat="1" applyFont="1" applyFill="1" applyBorder="1" applyAlignment="1">
      <alignment horizontal="right" vertical="center"/>
    </xf>
    <xf numFmtId="3" fontId="33" fillId="9" borderId="0" xfId="0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left" indent="2"/>
    </xf>
    <xf numFmtId="3" fontId="33" fillId="9" borderId="0" xfId="9" applyNumberFormat="1" applyFont="1" applyFill="1" applyBorder="1" applyAlignment="1">
      <alignment horizontal="right" vertical="center"/>
    </xf>
    <xf numFmtId="0" fontId="0" fillId="9" borderId="0" xfId="0" applyFill="1" applyBorder="1" applyAlignment="1">
      <alignment horizontal="right"/>
    </xf>
    <xf numFmtId="0" fontId="40" fillId="9" borderId="0" xfId="0" applyFont="1" applyFill="1" applyBorder="1" applyAlignment="1">
      <alignment vertical="center"/>
    </xf>
    <xf numFmtId="0" fontId="54" fillId="9" borderId="0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right" vertical="center" indent="1"/>
    </xf>
    <xf numFmtId="0" fontId="33" fillId="9" borderId="0" xfId="0" applyFont="1" applyFill="1" applyBorder="1" applyAlignment="1">
      <alignment horizontal="left" vertical="center" indent="1"/>
    </xf>
    <xf numFmtId="0" fontId="34" fillId="11" borderId="0" xfId="0" applyFont="1" applyFill="1" applyBorder="1" applyAlignment="1">
      <alignment vertical="center"/>
    </xf>
    <xf numFmtId="165" fontId="34" fillId="11" borderId="0" xfId="9" applyNumberFormat="1" applyFont="1" applyFill="1" applyBorder="1" applyAlignment="1">
      <alignment vertical="center"/>
    </xf>
    <xf numFmtId="3" fontId="34" fillId="11" borderId="0" xfId="0" applyNumberFormat="1" applyFont="1" applyFill="1" applyBorder="1"/>
    <xf numFmtId="0" fontId="44" fillId="9" borderId="0" xfId="6" applyFont="1" applyFill="1" applyBorder="1" applyAlignment="1">
      <alignment vertical="center" wrapText="1"/>
    </xf>
    <xf numFmtId="0" fontId="43" fillId="9" borderId="0" xfId="6" applyFont="1" applyFill="1" applyBorder="1" applyAlignment="1">
      <alignment wrapText="1"/>
    </xf>
    <xf numFmtId="0" fontId="43" fillId="9" borderId="0" xfId="6" applyFont="1" applyFill="1" applyBorder="1" applyAlignment="1">
      <alignment horizontal="justify" vertical="center" wrapText="1"/>
    </xf>
    <xf numFmtId="0" fontId="46" fillId="9" borderId="0" xfId="6" applyFont="1" applyFill="1" applyBorder="1" applyAlignment="1">
      <alignment horizontal="right" vertical="center" wrapText="1"/>
    </xf>
    <xf numFmtId="164" fontId="46" fillId="9" borderId="0" xfId="6" applyNumberFormat="1" applyFont="1" applyFill="1" applyBorder="1" applyAlignment="1">
      <alignment horizontal="right" vertical="center" wrapText="1"/>
    </xf>
    <xf numFmtId="0" fontId="47" fillId="9" borderId="0" xfId="6" applyFont="1" applyFill="1" applyBorder="1" applyAlignment="1">
      <alignment horizontal="justify" vertical="center" wrapText="1"/>
    </xf>
    <xf numFmtId="0" fontId="51" fillId="9" borderId="0" xfId="6" applyFont="1" applyFill="1" applyBorder="1" applyAlignment="1">
      <alignment horizontal="right" vertical="center" wrapText="1"/>
    </xf>
    <xf numFmtId="0" fontId="44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left" vertical="center" wrapText="1"/>
    </xf>
    <xf numFmtId="0" fontId="43" fillId="9" borderId="0" xfId="3" applyFont="1" applyFill="1" applyBorder="1" applyAlignment="1">
      <alignment horizontal="right" vertical="center" wrapText="1"/>
    </xf>
    <xf numFmtId="0" fontId="2" fillId="9" borderId="0" xfId="3" applyFont="1" applyFill="1" applyBorder="1"/>
    <xf numFmtId="0" fontId="5" fillId="9" borderId="0" xfId="3" applyFont="1" applyFill="1" applyBorder="1" applyAlignment="1">
      <alignment horizontal="center"/>
    </xf>
    <xf numFmtId="0" fontId="5" fillId="9" borderId="0" xfId="3" applyFont="1" applyFill="1" applyBorder="1" applyAlignment="1">
      <alignment horizontal="right"/>
    </xf>
    <xf numFmtId="2" fontId="2" fillId="9" borderId="0" xfId="3" applyNumberFormat="1" applyFont="1" applyFill="1" applyBorder="1"/>
    <xf numFmtId="3" fontId="2" fillId="9" borderId="0" xfId="3" applyNumberFormat="1" applyFont="1" applyFill="1" applyBorder="1"/>
    <xf numFmtId="2" fontId="5" fillId="9" borderId="0" xfId="3" applyNumberFormat="1" applyFont="1" applyFill="1" applyBorder="1" applyAlignment="1"/>
    <xf numFmtId="2" fontId="5" fillId="9" borderId="0" xfId="3" applyNumberFormat="1" applyFont="1" applyFill="1" applyBorder="1"/>
    <xf numFmtId="164" fontId="0" fillId="9" borderId="0" xfId="0" applyNumberFormat="1" applyFill="1" applyBorder="1"/>
    <xf numFmtId="3" fontId="34" fillId="9" borderId="0" xfId="0" applyNumberFormat="1" applyFont="1" applyFill="1" applyBorder="1" applyAlignment="1">
      <alignment horizontal="right" indent="1"/>
    </xf>
    <xf numFmtId="3" fontId="5" fillId="9" borderId="0" xfId="3" applyNumberFormat="1" applyFont="1" applyFill="1" applyBorder="1" applyAlignment="1">
      <alignment horizontal="right" indent="1"/>
    </xf>
    <xf numFmtId="165" fontId="5" fillId="9" borderId="0" xfId="9" applyNumberFormat="1" applyFont="1" applyFill="1" applyBorder="1" applyAlignment="1">
      <alignment horizontal="right" indent="1"/>
    </xf>
    <xf numFmtId="0" fontId="38" fillId="9" borderId="0" xfId="0" applyFont="1" applyFill="1" applyBorder="1" applyAlignment="1">
      <alignment horizontal="right" indent="1"/>
    </xf>
    <xf numFmtId="3" fontId="33" fillId="9" borderId="0" xfId="0" applyNumberFormat="1" applyFont="1" applyFill="1" applyBorder="1" applyAlignment="1">
      <alignment horizontal="right" vertical="center" indent="1"/>
    </xf>
    <xf numFmtId="3" fontId="2" fillId="9" borderId="0" xfId="3" applyNumberFormat="1" applyFont="1" applyFill="1" applyBorder="1" applyAlignment="1">
      <alignment horizontal="right" indent="1"/>
    </xf>
    <xf numFmtId="165" fontId="2" fillId="9" borderId="0" xfId="3" applyNumberFormat="1" applyFont="1" applyFill="1" applyBorder="1" applyAlignment="1">
      <alignment horizontal="right" indent="1"/>
    </xf>
    <xf numFmtId="3" fontId="34" fillId="9" borderId="0" xfId="0" applyNumberFormat="1" applyFont="1" applyFill="1" applyBorder="1" applyAlignment="1">
      <alignment horizontal="right" vertical="center" indent="1"/>
    </xf>
    <xf numFmtId="0" fontId="5" fillId="11" borderId="0" xfId="3" applyFont="1" applyFill="1" applyBorder="1"/>
    <xf numFmtId="3" fontId="34" fillId="11" borderId="0" xfId="0" applyNumberFormat="1" applyFont="1" applyFill="1" applyBorder="1" applyAlignment="1">
      <alignment horizontal="right" vertical="center" indent="1"/>
    </xf>
    <xf numFmtId="3" fontId="5" fillId="11" borderId="0" xfId="3" applyNumberFormat="1" applyFont="1" applyFill="1" applyBorder="1" applyAlignment="1">
      <alignment horizontal="right" indent="1"/>
    </xf>
    <xf numFmtId="165" fontId="5" fillId="11" borderId="0" xfId="9" applyNumberFormat="1" applyFont="1" applyFill="1" applyBorder="1" applyAlignment="1">
      <alignment horizontal="right" indent="1"/>
    </xf>
    <xf numFmtId="3" fontId="34" fillId="11" borderId="0" xfId="0" applyNumberFormat="1" applyFont="1" applyFill="1" applyBorder="1" applyAlignment="1">
      <alignment horizontal="right" indent="1"/>
    </xf>
    <xf numFmtId="0" fontId="2" fillId="9" borderId="0" xfId="3" applyFont="1" applyFill="1" applyBorder="1" applyAlignment="1">
      <alignment horizontal="left" indent="1"/>
    </xf>
    <xf numFmtId="0" fontId="6" fillId="11" borderId="0" xfId="0" applyFont="1" applyFill="1" applyBorder="1"/>
    <xf numFmtId="0" fontId="6" fillId="9" borderId="0" xfId="0" applyFont="1" applyFill="1" applyBorder="1"/>
    <xf numFmtId="3" fontId="6" fillId="9" borderId="0" xfId="0" applyNumberFormat="1" applyFont="1" applyFill="1" applyBorder="1"/>
    <xf numFmtId="174" fontId="6" fillId="9" borderId="0" xfId="0" applyNumberFormat="1" applyFont="1" applyFill="1" applyBorder="1" applyAlignment="1">
      <alignment horizontal="center" wrapText="1"/>
    </xf>
    <xf numFmtId="0" fontId="13" fillId="9" borderId="0" xfId="0" applyFont="1" applyFill="1" applyBorder="1"/>
    <xf numFmtId="2" fontId="6" fillId="9" borderId="0" xfId="0" applyNumberFormat="1" applyFont="1" applyFill="1" applyBorder="1"/>
    <xf numFmtId="3" fontId="13" fillId="9" borderId="0" xfId="0" applyNumberFormat="1" applyFont="1" applyFill="1" applyBorder="1"/>
    <xf numFmtId="2" fontId="13" fillId="9" borderId="0" xfId="0" applyNumberFormat="1" applyFont="1" applyFill="1" applyBorder="1"/>
    <xf numFmtId="164" fontId="6" fillId="9" borderId="0" xfId="0" applyNumberFormat="1" applyFont="1" applyFill="1" applyBorder="1"/>
    <xf numFmtId="0" fontId="6" fillId="9" borderId="0" xfId="0" applyFont="1" applyFill="1" applyBorder="1" applyAlignment="1">
      <alignment horizontal="center"/>
    </xf>
    <xf numFmtId="4" fontId="6" fillId="9" borderId="0" xfId="0" applyNumberFormat="1" applyFont="1" applyFill="1" applyBorder="1"/>
    <xf numFmtId="4" fontId="13" fillId="9" borderId="0" xfId="0" applyNumberFormat="1" applyFont="1" applyFill="1" applyBorder="1"/>
    <xf numFmtId="164" fontId="13" fillId="9" borderId="0" xfId="0" applyNumberFormat="1" applyFont="1" applyFill="1" applyBorder="1"/>
    <xf numFmtId="0" fontId="13" fillId="9" borderId="0" xfId="0" applyFont="1" applyFill="1" applyBorder="1" applyAlignment="1">
      <alignment horizontal="left" indent="1"/>
    </xf>
    <xf numFmtId="3" fontId="6" fillId="11" borderId="0" xfId="6" applyNumberFormat="1" applyFont="1" applyFill="1" applyBorder="1"/>
    <xf numFmtId="3" fontId="6" fillId="11" borderId="0" xfId="0" applyNumberFormat="1" applyFont="1" applyFill="1" applyBorder="1"/>
    <xf numFmtId="164" fontId="6" fillId="11" borderId="0" xfId="0" applyNumberFormat="1" applyFont="1" applyFill="1" applyBorder="1"/>
    <xf numFmtId="0" fontId="13" fillId="11" borderId="0" xfId="0" applyFont="1" applyFill="1" applyBorder="1"/>
    <xf numFmtId="174" fontId="53" fillId="10" borderId="0" xfId="0" applyNumberFormat="1" applyFont="1" applyFill="1" applyBorder="1" applyAlignment="1">
      <alignment horizontal="center" vertical="center" wrapText="1"/>
    </xf>
    <xf numFmtId="0" fontId="34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left" vertical="center" wrapText="1" indent="1"/>
    </xf>
    <xf numFmtId="0" fontId="34" fillId="11" borderId="0" xfId="0" applyFont="1" applyFill="1" applyBorder="1" applyAlignment="1">
      <alignment horizontal="left" vertical="center" wrapText="1"/>
    </xf>
    <xf numFmtId="0" fontId="33" fillId="11" borderId="0" xfId="0" applyFont="1" applyFill="1" applyBorder="1" applyAlignment="1">
      <alignment horizontal="left" vertical="center" wrapText="1"/>
    </xf>
    <xf numFmtId="2" fontId="35" fillId="9" borderId="0" xfId="0" applyNumberFormat="1" applyFont="1" applyFill="1" applyBorder="1" applyAlignment="1">
      <alignment horizontal="right" vertical="center" wrapText="1" indent="1"/>
    </xf>
    <xf numFmtId="2" fontId="4" fillId="9" borderId="0" xfId="0" applyNumberFormat="1" applyFont="1" applyFill="1" applyBorder="1" applyAlignment="1">
      <alignment horizontal="right" vertical="center" wrapText="1" indent="1"/>
    </xf>
    <xf numFmtId="0" fontId="35" fillId="9" borderId="0" xfId="0" applyFont="1" applyFill="1" applyBorder="1" applyAlignment="1">
      <alignment horizontal="right" vertical="center" wrapText="1" indent="1"/>
    </xf>
    <xf numFmtId="0" fontId="33" fillId="11" borderId="0" xfId="0" applyFont="1" applyFill="1" applyBorder="1" applyAlignment="1">
      <alignment horizontal="right" vertical="center" wrapText="1" indent="1"/>
    </xf>
    <xf numFmtId="0" fontId="33" fillId="9" borderId="0" xfId="0" applyFont="1" applyFill="1" applyBorder="1" applyAlignment="1">
      <alignment horizontal="right" vertical="center" wrapText="1" indent="1"/>
    </xf>
    <xf numFmtId="3" fontId="35" fillId="9" borderId="0" xfId="0" applyNumberFormat="1" applyFont="1" applyFill="1" applyBorder="1" applyAlignment="1">
      <alignment horizontal="right" vertical="center" wrapText="1" indent="1"/>
    </xf>
    <xf numFmtId="170" fontId="35" fillId="9" borderId="0" xfId="0" applyNumberFormat="1" applyFont="1" applyFill="1" applyBorder="1" applyAlignment="1">
      <alignment horizontal="right" vertical="center" wrapText="1" indent="1"/>
    </xf>
    <xf numFmtId="0" fontId="53" fillId="10" borderId="0" xfId="0" applyFont="1" applyFill="1" applyBorder="1" applyAlignment="1">
      <alignment horizontal="center" vertical="center"/>
    </xf>
    <xf numFmtId="0" fontId="33" fillId="9" borderId="0" xfId="0" applyFont="1" applyFill="1" applyBorder="1"/>
    <xf numFmtId="0" fontId="44" fillId="8" borderId="0" xfId="6" applyFont="1" applyFill="1" applyBorder="1"/>
    <xf numFmtId="0" fontId="44" fillId="0" borderId="0" xfId="6" applyFont="1" applyFill="1" applyBorder="1"/>
    <xf numFmtId="0" fontId="62" fillId="9" borderId="0" xfId="0" applyFont="1" applyFill="1"/>
    <xf numFmtId="0" fontId="63" fillId="8" borderId="0" xfId="6" applyFont="1" applyFill="1" applyBorder="1" applyAlignment="1"/>
    <xf numFmtId="0" fontId="63" fillId="9" borderId="0" xfId="6" applyFont="1" applyFill="1" applyBorder="1" applyAlignment="1"/>
    <xf numFmtId="0" fontId="62" fillId="9" borderId="0" xfId="0" applyFont="1" applyFill="1" applyBorder="1"/>
    <xf numFmtId="0" fontId="62" fillId="0" borderId="0" xfId="0" applyFont="1"/>
    <xf numFmtId="0" fontId="58" fillId="11" borderId="0" xfId="0" applyFont="1" applyFill="1" applyBorder="1" applyAlignment="1">
      <alignment vertical="center"/>
    </xf>
    <xf numFmtId="0" fontId="36" fillId="11" borderId="0" xfId="0" applyFont="1" applyFill="1" applyBorder="1" applyAlignment="1">
      <alignment vertical="center"/>
    </xf>
    <xf numFmtId="3" fontId="36" fillId="11" borderId="0" xfId="0" applyNumberFormat="1" applyFont="1" applyFill="1" applyBorder="1" applyAlignment="1">
      <alignment horizontal="right" vertical="center" indent="1"/>
    </xf>
    <xf numFmtId="165" fontId="36" fillId="11" borderId="0" xfId="0" applyNumberFormat="1" applyFont="1" applyFill="1" applyBorder="1" applyAlignment="1">
      <alignment horizontal="right" vertical="center" indent="1"/>
    </xf>
    <xf numFmtId="0" fontId="6" fillId="9" borderId="0" xfId="6" applyFont="1" applyFill="1" applyBorder="1" applyAlignment="1">
      <alignment vertical="top"/>
    </xf>
    <xf numFmtId="0" fontId="53" fillId="10" borderId="0" xfId="0" applyFont="1" applyFill="1" applyBorder="1" applyAlignment="1">
      <alignment horizontal="center" vertical="top" wrapText="1"/>
    </xf>
    <xf numFmtId="0" fontId="34" fillId="9" borderId="0" xfId="0" applyFont="1" applyFill="1" applyBorder="1" applyAlignment="1">
      <alignment vertical="top"/>
    </xf>
    <xf numFmtId="0" fontId="34" fillId="9" borderId="0" xfId="0" applyFont="1" applyFill="1" applyBorder="1" applyAlignment="1">
      <alignment horizontal="left" vertical="center" indent="1"/>
    </xf>
    <xf numFmtId="0" fontId="33" fillId="9" borderId="28" xfId="0" applyFont="1" applyFill="1" applyBorder="1" applyAlignment="1">
      <alignment horizontal="left" vertical="center" wrapText="1"/>
    </xf>
    <xf numFmtId="2" fontId="35" fillId="9" borderId="28" xfId="0" applyNumberFormat="1" applyFont="1" applyFill="1" applyBorder="1" applyAlignment="1">
      <alignment horizontal="right" vertical="center" wrapText="1" indent="1"/>
    </xf>
    <xf numFmtId="0" fontId="35" fillId="9" borderId="28" xfId="0" applyFont="1" applyFill="1" applyBorder="1" applyAlignment="1">
      <alignment horizontal="left" vertical="center" wrapText="1"/>
    </xf>
    <xf numFmtId="0" fontId="35" fillId="9" borderId="28" xfId="0" applyFont="1" applyFill="1" applyBorder="1" applyAlignment="1">
      <alignment vertical="center"/>
    </xf>
    <xf numFmtId="170" fontId="33" fillId="9" borderId="28" xfId="0" applyNumberFormat="1" applyFont="1" applyFill="1" applyBorder="1"/>
    <xf numFmtId="165" fontId="33" fillId="9" borderId="28" xfId="9" applyNumberFormat="1" applyFont="1" applyFill="1" applyBorder="1"/>
    <xf numFmtId="0" fontId="5" fillId="9" borderId="0" xfId="3" applyFont="1" applyFill="1" applyBorder="1" applyAlignment="1">
      <alignment vertical="top"/>
    </xf>
    <xf numFmtId="0" fontId="34" fillId="11" borderId="0" xfId="0" applyFont="1" applyFill="1" applyBorder="1"/>
    <xf numFmtId="165" fontId="34" fillId="11" borderId="0" xfId="9" applyNumberFormat="1" applyFont="1" applyFill="1" applyBorder="1" applyAlignment="1">
      <alignment horizontal="right" indent="1"/>
    </xf>
    <xf numFmtId="0" fontId="65" fillId="11" borderId="0" xfId="3" applyFont="1" applyFill="1" applyBorder="1"/>
    <xf numFmtId="2" fontId="65" fillId="9" borderId="0" xfId="3" applyNumberFormat="1" applyFont="1" applyFill="1" applyBorder="1"/>
    <xf numFmtId="3" fontId="64" fillId="11" borderId="0" xfId="0" applyNumberFormat="1" applyFont="1" applyFill="1" applyBorder="1" applyAlignment="1">
      <alignment horizontal="right" vertical="center" indent="1"/>
    </xf>
    <xf numFmtId="3" fontId="64" fillId="9" borderId="0" xfId="0" applyNumberFormat="1" applyFont="1" applyFill="1" applyBorder="1" applyAlignment="1">
      <alignment horizontal="right" vertical="center" indent="1"/>
    </xf>
    <xf numFmtId="3" fontId="65" fillId="11" borderId="0" xfId="3" applyNumberFormat="1" applyFont="1" applyFill="1" applyBorder="1" applyAlignment="1">
      <alignment horizontal="right" indent="1"/>
    </xf>
    <xf numFmtId="3" fontId="65" fillId="9" borderId="0" xfId="3" applyNumberFormat="1" applyFont="1" applyFill="1" applyBorder="1" applyAlignment="1">
      <alignment horizontal="right" indent="1"/>
    </xf>
    <xf numFmtId="165" fontId="65" fillId="11" borderId="0" xfId="9" applyNumberFormat="1" applyFont="1" applyFill="1" applyBorder="1" applyAlignment="1">
      <alignment horizontal="right" indent="1"/>
    </xf>
    <xf numFmtId="0" fontId="64" fillId="11" borderId="0" xfId="0" applyFont="1" applyFill="1" applyBorder="1" applyAlignment="1">
      <alignment vertical="center"/>
    </xf>
    <xf numFmtId="0" fontId="62" fillId="9" borderId="0" xfId="0" applyFont="1" applyFill="1" applyBorder="1" applyAlignment="1">
      <alignment vertical="center"/>
    </xf>
    <xf numFmtId="3" fontId="64" fillId="11" borderId="0" xfId="0" applyNumberFormat="1" applyFont="1" applyFill="1" applyBorder="1" applyAlignment="1">
      <alignment vertical="center"/>
    </xf>
    <xf numFmtId="3" fontId="62" fillId="9" borderId="0" xfId="0" applyNumberFormat="1" applyFont="1" applyFill="1" applyBorder="1" applyAlignment="1">
      <alignment vertical="center"/>
    </xf>
    <xf numFmtId="10" fontId="64" fillId="11" borderId="0" xfId="0" applyNumberFormat="1" applyFont="1" applyFill="1" applyBorder="1" applyAlignment="1">
      <alignment vertical="center" wrapText="1"/>
    </xf>
    <xf numFmtId="165" fontId="62" fillId="9" borderId="0" xfId="9" applyNumberFormat="1" applyFont="1" applyFill="1" applyBorder="1" applyAlignment="1">
      <alignment horizontal="right" vertical="center"/>
    </xf>
    <xf numFmtId="0" fontId="68" fillId="9" borderId="0" xfId="6" applyFont="1" applyFill="1" applyBorder="1" applyAlignment="1">
      <alignment wrapText="1"/>
    </xf>
    <xf numFmtId="0" fontId="56" fillId="11" borderId="0" xfId="0" applyFont="1" applyFill="1" applyBorder="1"/>
    <xf numFmtId="0" fontId="56" fillId="9" borderId="0" xfId="0" applyFont="1" applyFill="1" applyBorder="1"/>
    <xf numFmtId="3" fontId="56" fillId="11" borderId="0" xfId="6" applyNumberFormat="1" applyFont="1" applyFill="1" applyBorder="1"/>
    <xf numFmtId="3" fontId="56" fillId="11" borderId="0" xfId="0" applyNumberFormat="1" applyFont="1" applyFill="1" applyBorder="1"/>
    <xf numFmtId="3" fontId="56" fillId="9" borderId="0" xfId="0" applyNumberFormat="1" applyFont="1" applyFill="1" applyBorder="1"/>
    <xf numFmtId="164" fontId="56" fillId="11" borderId="0" xfId="0" applyNumberFormat="1" applyFont="1" applyFill="1" applyBorder="1"/>
    <xf numFmtId="164" fontId="56" fillId="9" borderId="0" xfId="0" applyNumberFormat="1" applyFont="1" applyFill="1" applyBorder="1"/>
    <xf numFmtId="0" fontId="60" fillId="9" borderId="0" xfId="0" applyFont="1" applyFill="1" applyBorder="1"/>
    <xf numFmtId="4" fontId="60" fillId="9" borderId="0" xfId="0" applyNumberFormat="1" applyFont="1" applyFill="1" applyBorder="1"/>
    <xf numFmtId="2" fontId="56" fillId="9" borderId="0" xfId="0" applyNumberFormat="1" applyFont="1" applyFill="1" applyBorder="1"/>
    <xf numFmtId="4" fontId="56" fillId="9" borderId="0" xfId="0" applyNumberFormat="1" applyFont="1" applyFill="1" applyBorder="1"/>
    <xf numFmtId="3" fontId="60" fillId="9" borderId="0" xfId="0" applyNumberFormat="1" applyFont="1" applyFill="1" applyBorder="1"/>
    <xf numFmtId="2" fontId="60" fillId="9" borderId="0" xfId="0" applyNumberFormat="1" applyFont="1" applyFill="1" applyBorder="1"/>
    <xf numFmtId="0" fontId="38" fillId="9" borderId="0" xfId="0" applyFont="1" applyFill="1" applyBorder="1" applyAlignment="1">
      <alignment horizontal="justify" vertical="center"/>
    </xf>
    <xf numFmtId="0" fontId="38" fillId="9" borderId="0" xfId="0" quotePrefix="1" applyFont="1" applyFill="1" applyBorder="1" applyAlignment="1">
      <alignment horizontal="justify" vertical="center"/>
    </xf>
    <xf numFmtId="0" fontId="33" fillId="9" borderId="0" xfId="0" applyFont="1" applyFill="1" applyBorder="1" applyAlignment="1">
      <alignment horizontal="justify" vertical="center"/>
    </xf>
    <xf numFmtId="0" fontId="71" fillId="9" borderId="0" xfId="0" applyFont="1" applyFill="1" applyBorder="1" applyAlignment="1">
      <alignment horizontal="justify" vertical="center"/>
    </xf>
    <xf numFmtId="0" fontId="34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3" fontId="13" fillId="9" borderId="0" xfId="6" applyNumberFormat="1" applyFont="1" applyFill="1" applyBorder="1" applyAlignment="1">
      <alignment horizontal="right"/>
    </xf>
    <xf numFmtId="3" fontId="73" fillId="9" borderId="0" xfId="0" applyNumberFormat="1" applyFont="1" applyFill="1" applyBorder="1"/>
    <xf numFmtId="0" fontId="53" fillId="10" borderId="0" xfId="0" applyFont="1" applyFill="1" applyBorder="1" applyAlignment="1">
      <alignment horizontal="right" vertical="center" wrapText="1"/>
    </xf>
    <xf numFmtId="0" fontId="33" fillId="9" borderId="0" xfId="0" applyFont="1" applyFill="1" applyBorder="1" applyAlignment="1">
      <alignment horizontal="right"/>
    </xf>
    <xf numFmtId="0" fontId="33" fillId="9" borderId="0" xfId="0" applyFont="1" applyFill="1" applyBorder="1" applyAlignment="1">
      <alignment horizontal="center" wrapText="1"/>
    </xf>
    <xf numFmtId="0" fontId="75" fillId="9" borderId="0" xfId="0" applyFont="1" applyFill="1" applyAlignment="1">
      <alignment horizontal="justify" vertical="center"/>
    </xf>
    <xf numFmtId="0" fontId="38" fillId="9" borderId="0" xfId="0" applyFont="1" applyFill="1" applyAlignment="1">
      <alignment horizontal="justify" vertical="center"/>
    </xf>
    <xf numFmtId="0" fontId="76" fillId="9" borderId="0" xfId="0" applyFont="1" applyFill="1" applyAlignment="1">
      <alignment horizontal="justify" vertical="center"/>
    </xf>
    <xf numFmtId="2" fontId="5" fillId="11" borderId="0" xfId="9" applyNumberFormat="1" applyFont="1" applyFill="1" applyBorder="1"/>
    <xf numFmtId="2" fontId="5" fillId="9" borderId="0" xfId="9" applyNumberFormat="1" applyFont="1" applyFill="1" applyBorder="1"/>
    <xf numFmtId="164" fontId="5" fillId="11" borderId="0" xfId="0" applyNumberFormat="1" applyFont="1" applyFill="1" applyBorder="1"/>
    <xf numFmtId="2" fontId="5" fillId="11" borderId="0" xfId="0" applyNumberFormat="1" applyFont="1" applyFill="1" applyBorder="1"/>
    <xf numFmtId="2" fontId="5" fillId="9" borderId="0" xfId="0" applyNumberFormat="1" applyFont="1" applyFill="1" applyBorder="1"/>
    <xf numFmtId="0" fontId="53" fillId="12" borderId="0" xfId="3" applyFont="1" applyFill="1" applyBorder="1" applyAlignment="1">
      <alignment horizontal="center" vertical="center" wrapText="1"/>
    </xf>
    <xf numFmtId="0" fontId="53" fillId="9" borderId="0" xfId="3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right" vertical="center" indent="1"/>
    </xf>
    <xf numFmtId="3" fontId="34" fillId="11" borderId="0" xfId="0" applyNumberFormat="1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3" fontId="0" fillId="9" borderId="0" xfId="0" applyNumberFormat="1" applyFill="1" applyBorder="1" applyAlignment="1">
      <alignment vertical="center"/>
    </xf>
    <xf numFmtId="4" fontId="0" fillId="9" borderId="0" xfId="0" applyNumberFormat="1" applyFill="1" applyBorder="1" applyAlignment="1">
      <alignment vertical="center"/>
    </xf>
    <xf numFmtId="10" fontId="34" fillId="9" borderId="0" xfId="9" applyNumberFormat="1" applyFont="1" applyFill="1" applyBorder="1" applyAlignment="1">
      <alignment vertical="center"/>
    </xf>
    <xf numFmtId="10" fontId="31" fillId="9" borderId="0" xfId="9" applyNumberFormat="1" applyFont="1" applyFill="1" applyBorder="1" applyAlignment="1">
      <alignment vertical="center"/>
    </xf>
    <xf numFmtId="3" fontId="2" fillId="9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33" fillId="0" borderId="1" xfId="0" applyNumberFormat="1" applyFont="1" applyFill="1" applyBorder="1" applyAlignment="1">
      <alignment horizontal="right" vertical="center"/>
    </xf>
    <xf numFmtId="0" fontId="6" fillId="9" borderId="0" xfId="6" applyFont="1" applyFill="1" applyBorder="1" applyAlignment="1">
      <alignment vertical="center"/>
    </xf>
    <xf numFmtId="0" fontId="6" fillId="9" borderId="0" xfId="6" applyFont="1" applyFill="1" applyBorder="1" applyAlignment="1">
      <alignment horizontal="center" vertical="center"/>
    </xf>
    <xf numFmtId="174" fontId="53" fillId="10" borderId="0" xfId="6" applyNumberFormat="1" applyFont="1" applyFill="1" applyBorder="1" applyAlignment="1">
      <alignment horizontal="center" vertical="center" wrapText="1"/>
    </xf>
    <xf numFmtId="174" fontId="53" fillId="9" borderId="0" xfId="6" applyNumberFormat="1" applyFont="1" applyFill="1" applyBorder="1" applyAlignment="1">
      <alignment horizontal="center" vertical="center" wrapText="1"/>
    </xf>
    <xf numFmtId="3" fontId="6" fillId="8" borderId="0" xfId="6" applyNumberFormat="1" applyFont="1" applyFill="1" applyBorder="1" applyAlignment="1">
      <alignment vertical="center"/>
    </xf>
    <xf numFmtId="3" fontId="13" fillId="9" borderId="0" xfId="6" applyNumberFormat="1" applyFont="1" applyFill="1" applyBorder="1" applyAlignment="1">
      <alignment vertical="center"/>
    </xf>
    <xf numFmtId="0" fontId="31" fillId="9" borderId="0" xfId="7" applyFill="1" applyBorder="1" applyAlignment="1">
      <alignment vertical="center"/>
    </xf>
    <xf numFmtId="4" fontId="13" fillId="9" borderId="0" xfId="6" applyNumberFormat="1" applyFont="1" applyFill="1" applyBorder="1" applyAlignment="1">
      <alignment vertical="center"/>
    </xf>
    <xf numFmtId="3" fontId="56" fillId="8" borderId="0" xfId="6" applyNumberFormat="1" applyFont="1" applyFill="1" applyBorder="1" applyAlignment="1">
      <alignment vertical="center"/>
    </xf>
    <xf numFmtId="0" fontId="44" fillId="8" borderId="0" xfId="6" applyFont="1" applyFill="1" applyBorder="1" applyAlignment="1">
      <alignment vertical="center"/>
    </xf>
    <xf numFmtId="0" fontId="32" fillId="9" borderId="0" xfId="6" applyFill="1" applyBorder="1" applyAlignment="1">
      <alignment vertical="center"/>
    </xf>
    <xf numFmtId="3" fontId="13" fillId="9" borderId="0" xfId="6" applyNumberFormat="1" applyFont="1" applyFill="1" applyBorder="1" applyAlignment="1">
      <alignment horizontal="right" vertical="center"/>
    </xf>
    <xf numFmtId="164" fontId="6" fillId="8" borderId="0" xfId="6" applyNumberFormat="1" applyFont="1" applyFill="1" applyBorder="1" applyAlignment="1">
      <alignment horizontal="right" vertical="center"/>
    </xf>
    <xf numFmtId="164" fontId="13" fillId="9" borderId="0" xfId="6" applyNumberFormat="1" applyFont="1" applyFill="1" applyBorder="1" applyAlignment="1">
      <alignment horizontal="right" vertical="center"/>
    </xf>
    <xf numFmtId="164" fontId="32" fillId="9" borderId="0" xfId="6" applyNumberFormat="1" applyFill="1" applyBorder="1" applyAlignment="1">
      <alignment vertical="center"/>
    </xf>
    <xf numFmtId="171" fontId="61" fillId="8" borderId="0" xfId="6" applyNumberFormat="1" applyFont="1" applyFill="1" applyBorder="1" applyAlignment="1">
      <alignment horizontal="right" vertical="center"/>
    </xf>
    <xf numFmtId="3" fontId="6" fillId="9" borderId="0" xfId="6" applyNumberFormat="1" applyFont="1" applyFill="1" applyBorder="1" applyAlignment="1">
      <alignment vertical="center"/>
    </xf>
    <xf numFmtId="4" fontId="61" fillId="8" borderId="0" xfId="6" applyNumberFormat="1" applyFont="1" applyFill="1" applyBorder="1" applyAlignment="1">
      <alignment vertical="center"/>
    </xf>
    <xf numFmtId="3" fontId="5" fillId="8" borderId="0" xfId="0" applyNumberFormat="1" applyFont="1" applyFill="1" applyBorder="1" applyAlignment="1">
      <alignment horizontal="right" vertical="center" wrapText="1"/>
    </xf>
    <xf numFmtId="164" fontId="5" fillId="8" borderId="0" xfId="9" applyNumberFormat="1" applyFont="1" applyFill="1" applyBorder="1" applyAlignment="1">
      <alignment horizontal="right"/>
    </xf>
    <xf numFmtId="0" fontId="5" fillId="8" borderId="0" xfId="6" applyFont="1" applyFill="1" applyBorder="1"/>
    <xf numFmtId="0" fontId="5" fillId="9" borderId="0" xfId="6" applyFont="1" applyFill="1" applyBorder="1"/>
    <xf numFmtId="0" fontId="5" fillId="9" borderId="0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/>
    </xf>
    <xf numFmtId="0" fontId="2" fillId="9" borderId="0" xfId="0" applyFont="1" applyFill="1" applyBorder="1" applyAlignment="1">
      <alignment horizontal="left" vertical="center" wrapText="1"/>
    </xf>
    <xf numFmtId="164" fontId="2" fillId="9" borderId="0" xfId="9" applyNumberFormat="1" applyFont="1" applyFill="1" applyBorder="1" applyAlignment="1">
      <alignment horizontal="right"/>
    </xf>
    <xf numFmtId="0" fontId="2" fillId="9" borderId="0" xfId="0" applyFont="1" applyFill="1" applyBorder="1" applyAlignment="1">
      <alignment horizontal="right" vertical="top" wrapText="1"/>
    </xf>
    <xf numFmtId="0" fontId="2" fillId="9" borderId="0" xfId="0" applyFont="1" applyFill="1" applyBorder="1" applyAlignment="1">
      <alignment horizontal="right"/>
    </xf>
    <xf numFmtId="3" fontId="2" fillId="9" borderId="0" xfId="0" applyNumberFormat="1" applyFont="1" applyFill="1" applyBorder="1" applyAlignment="1">
      <alignment horizontal="right"/>
    </xf>
    <xf numFmtId="0" fontId="79" fillId="9" borderId="0" xfId="0" applyFont="1" applyFill="1" applyBorder="1" applyAlignment="1">
      <alignment horizontal="center" wrapText="1"/>
    </xf>
    <xf numFmtId="3" fontId="6" fillId="0" borderId="0" xfId="6" applyNumberFormat="1" applyFont="1" applyFill="1" applyBorder="1" applyAlignment="1">
      <alignment vertical="center"/>
    </xf>
    <xf numFmtId="164" fontId="73" fillId="9" borderId="0" xfId="0" applyNumberFormat="1" applyFont="1" applyFill="1" applyBorder="1"/>
    <xf numFmtId="0" fontId="2" fillId="9" borderId="0" xfId="0" applyFont="1" applyFill="1" applyBorder="1" applyAlignment="1">
      <alignment horizontal="right" indent="1"/>
    </xf>
    <xf numFmtId="3" fontId="5" fillId="11" borderId="0" xfId="0" applyNumberFormat="1" applyFont="1" applyFill="1" applyBorder="1" applyAlignment="1">
      <alignment horizontal="right" vertical="center" indent="1"/>
    </xf>
    <xf numFmtId="0" fontId="73" fillId="11" borderId="0" xfId="0" applyFont="1" applyFill="1" applyBorder="1" applyAlignment="1">
      <alignment horizontal="left" vertical="center" wrapText="1"/>
    </xf>
    <xf numFmtId="0" fontId="73" fillId="9" borderId="0" xfId="0" applyFont="1" applyFill="1" applyBorder="1" applyAlignment="1">
      <alignment horizontal="right" vertical="center" wrapText="1" indent="1"/>
    </xf>
    <xf numFmtId="0" fontId="73" fillId="11" borderId="0" xfId="0" applyFont="1" applyFill="1" applyBorder="1" applyAlignment="1">
      <alignment horizontal="right" vertical="center" wrapText="1" indent="1"/>
    </xf>
    <xf numFmtId="3" fontId="5" fillId="8" borderId="0" xfId="6" applyNumberFormat="1" applyFont="1" applyFill="1" applyBorder="1" applyAlignment="1">
      <alignment vertical="center"/>
    </xf>
    <xf numFmtId="3" fontId="2" fillId="9" borderId="0" xfId="6" applyNumberFormat="1" applyFont="1" applyFill="1" applyBorder="1" applyAlignment="1">
      <alignment vertical="center"/>
    </xf>
    <xf numFmtId="0" fontId="82" fillId="9" borderId="0" xfId="7" applyFont="1" applyFill="1" applyBorder="1" applyAlignment="1">
      <alignment vertical="center"/>
    </xf>
    <xf numFmtId="4" fontId="2" fillId="9" borderId="0" xfId="6" applyNumberFormat="1" applyFont="1" applyFill="1" applyBorder="1" applyAlignment="1">
      <alignment vertical="center"/>
    </xf>
    <xf numFmtId="3" fontId="83" fillId="8" borderId="0" xfId="6" applyNumberFormat="1" applyFont="1" applyFill="1" applyBorder="1" applyAlignment="1">
      <alignment vertical="center"/>
    </xf>
    <xf numFmtId="0" fontId="84" fillId="9" borderId="0" xfId="6" applyFont="1" applyFill="1" applyBorder="1" applyAlignment="1">
      <alignment vertical="center"/>
    </xf>
    <xf numFmtId="177" fontId="85" fillId="8" borderId="0" xfId="6" applyNumberFormat="1" applyFont="1" applyFill="1" applyBorder="1" applyAlignment="1">
      <alignment vertical="center"/>
    </xf>
    <xf numFmtId="0" fontId="2" fillId="9" borderId="0" xfId="6" applyNumberFormat="1" applyFont="1" applyFill="1" applyBorder="1" applyAlignment="1">
      <alignment horizontal="right" vertical="center"/>
    </xf>
    <xf numFmtId="3" fontId="5" fillId="11" borderId="0" xfId="6" applyNumberFormat="1" applyFont="1" applyFill="1" applyBorder="1"/>
    <xf numFmtId="3" fontId="2" fillId="9" borderId="0" xfId="6" applyNumberFormat="1" applyFont="1" applyFill="1" applyBorder="1"/>
    <xf numFmtId="3" fontId="83" fillId="11" borderId="0" xfId="6" applyNumberFormat="1" applyFont="1" applyFill="1" applyBorder="1"/>
    <xf numFmtId="3" fontId="83" fillId="9" borderId="0" xfId="6" applyNumberFormat="1" applyFont="1" applyFill="1" applyBorder="1"/>
    <xf numFmtId="3" fontId="5" fillId="9" borderId="0" xfId="6" applyNumberFormat="1" applyFont="1" applyFill="1" applyBorder="1"/>
    <xf numFmtId="3" fontId="2" fillId="9" borderId="0" xfId="0" applyNumberFormat="1" applyFont="1" applyFill="1" applyBorder="1"/>
    <xf numFmtId="0" fontId="2" fillId="9" borderId="0" xfId="0" applyFont="1" applyFill="1" applyBorder="1"/>
    <xf numFmtId="2" fontId="2" fillId="9" borderId="0" xfId="0" applyNumberFormat="1" applyFont="1" applyFill="1" applyBorder="1" applyAlignment="1">
      <alignment horizontal="right" vertical="center" wrapText="1" indent="1"/>
    </xf>
    <xf numFmtId="3" fontId="2" fillId="9" borderId="0" xfId="0" applyNumberFormat="1" applyFont="1" applyFill="1" applyBorder="1" applyAlignment="1">
      <alignment horizontal="right" vertical="center" wrapText="1" indent="1"/>
    </xf>
    <xf numFmtId="0" fontId="2" fillId="9" borderId="0" xfId="0" applyFont="1" applyFill="1" applyBorder="1" applyAlignment="1">
      <alignment horizontal="right" vertical="center" wrapText="1" indent="1"/>
    </xf>
    <xf numFmtId="2" fontId="2" fillId="9" borderId="28" xfId="0" applyNumberFormat="1" applyFont="1" applyFill="1" applyBorder="1" applyAlignment="1">
      <alignment horizontal="right" vertical="center" wrapText="1" indent="1"/>
    </xf>
    <xf numFmtId="3" fontId="5" fillId="11" borderId="0" xfId="0" applyNumberFormat="1" applyFont="1" applyFill="1" applyBorder="1" applyAlignment="1">
      <alignment horizontal="right" indent="1"/>
    </xf>
    <xf numFmtId="0" fontId="14" fillId="9" borderId="0" xfId="0" applyFont="1" applyFill="1" applyBorder="1" applyAlignment="1">
      <alignment horizontal="right" indent="1"/>
    </xf>
    <xf numFmtId="0" fontId="2" fillId="9" borderId="0" xfId="0" applyFont="1" applyFill="1" applyBorder="1" applyAlignment="1">
      <alignment horizontal="right" vertical="center" indent="1"/>
    </xf>
    <xf numFmtId="3" fontId="83" fillId="11" borderId="0" xfId="0" applyNumberFormat="1" applyFont="1" applyFill="1" applyBorder="1" applyAlignment="1">
      <alignment horizontal="right" vertical="center" indent="1"/>
    </xf>
    <xf numFmtId="3" fontId="5" fillId="11" borderId="0" xfId="0" applyNumberFormat="1" applyFont="1" applyFill="1" applyBorder="1" applyAlignment="1">
      <alignment vertical="center"/>
    </xf>
    <xf numFmtId="3" fontId="5" fillId="9" borderId="0" xfId="0" applyNumberFormat="1" applyFont="1" applyFill="1" applyBorder="1" applyAlignment="1">
      <alignment vertical="center"/>
    </xf>
    <xf numFmtId="3" fontId="5" fillId="9" borderId="0" xfId="0" applyNumberFormat="1" applyFont="1" applyFill="1" applyBorder="1" applyAlignment="1">
      <alignment horizontal="right" vertical="center"/>
    </xf>
    <xf numFmtId="0" fontId="2" fillId="9" borderId="0" xfId="0" applyFont="1" applyFill="1" applyBorder="1" applyAlignment="1">
      <alignment vertical="center"/>
    </xf>
    <xf numFmtId="3" fontId="83" fillId="11" borderId="0" xfId="0" applyNumberFormat="1" applyFont="1" applyFill="1" applyBorder="1" applyAlignment="1">
      <alignment vertical="center"/>
    </xf>
    <xf numFmtId="3" fontId="2" fillId="9" borderId="0" xfId="0" applyNumberFormat="1" applyFont="1" applyFill="1" applyBorder="1" applyAlignment="1">
      <alignment vertical="center"/>
    </xf>
    <xf numFmtId="165" fontId="5" fillId="11" borderId="0" xfId="9" applyNumberFormat="1" applyFont="1" applyFill="1" applyBorder="1" applyAlignment="1">
      <alignment vertical="center"/>
    </xf>
    <xf numFmtId="0" fontId="2" fillId="9" borderId="0" xfId="0" applyFont="1" applyFill="1" applyBorder="1" applyAlignment="1">
      <alignment vertical="top" wrapText="1"/>
    </xf>
    <xf numFmtId="3" fontId="2" fillId="9" borderId="0" xfId="0" applyNumberFormat="1" applyFont="1" applyFill="1" applyBorder="1" applyAlignment="1">
      <alignment horizontal="right" vertical="top" wrapText="1"/>
    </xf>
    <xf numFmtId="171" fontId="2" fillId="9" borderId="0" xfId="0" applyNumberFormat="1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right"/>
    </xf>
    <xf numFmtId="0" fontId="5" fillId="9" borderId="0" xfId="0" applyFont="1" applyFill="1" applyBorder="1"/>
    <xf numFmtId="3" fontId="83" fillId="8" borderId="0" xfId="0" applyNumberFormat="1" applyFont="1" applyFill="1" applyBorder="1" applyAlignment="1">
      <alignment horizontal="right" vertical="center" wrapText="1"/>
    </xf>
    <xf numFmtId="3" fontId="65" fillId="8" borderId="0" xfId="0" applyNumberFormat="1" applyFont="1" applyFill="1" applyBorder="1" applyAlignment="1">
      <alignment horizontal="right" vertical="center" wrapText="1"/>
    </xf>
    <xf numFmtId="164" fontId="65" fillId="8" borderId="0" xfId="9" applyNumberFormat="1" applyFont="1" applyFill="1" applyBorder="1" applyAlignment="1">
      <alignment horizontal="right"/>
    </xf>
    <xf numFmtId="0" fontId="65" fillId="9" borderId="0" xfId="0" applyFont="1" applyFill="1" applyBorder="1" applyAlignment="1">
      <alignment horizontal="left" vertical="center" wrapText="1"/>
    </xf>
    <xf numFmtId="0" fontId="65" fillId="9" borderId="0" xfId="0" applyFont="1" applyFill="1" applyBorder="1" applyAlignment="1">
      <alignment horizontal="right" vertical="center" wrapText="1"/>
    </xf>
    <xf numFmtId="0" fontId="86" fillId="9" borderId="0" xfId="0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 vertical="center" wrapText="1"/>
    </xf>
    <xf numFmtId="164" fontId="5" fillId="9" borderId="0" xfId="9" applyNumberFormat="1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/>
    </xf>
    <xf numFmtId="10" fontId="5" fillId="8" borderId="0" xfId="6" applyNumberFormat="1" applyFont="1" applyFill="1" applyBorder="1" applyAlignment="1">
      <alignment horizontal="right"/>
    </xf>
    <xf numFmtId="10" fontId="5" fillId="9" borderId="0" xfId="6" applyNumberFormat="1" applyFont="1" applyFill="1" applyBorder="1" applyAlignment="1">
      <alignment horizontal="right"/>
    </xf>
    <xf numFmtId="3" fontId="2" fillId="9" borderId="0" xfId="0" applyNumberFormat="1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right" vertical="center" wrapText="1"/>
    </xf>
    <xf numFmtId="4" fontId="2" fillId="9" borderId="0" xfId="0" applyNumberFormat="1" applyFont="1" applyFill="1" applyBorder="1" applyAlignment="1">
      <alignment horizontal="right"/>
    </xf>
    <xf numFmtId="4" fontId="2" fillId="9" borderId="0" xfId="9" applyNumberFormat="1" applyFont="1" applyFill="1" applyBorder="1" applyAlignment="1">
      <alignment horizontal="right"/>
    </xf>
    <xf numFmtId="0" fontId="87" fillId="9" borderId="0" xfId="0" applyFont="1" applyFill="1" applyBorder="1" applyAlignment="1">
      <alignment wrapText="1"/>
    </xf>
    <xf numFmtId="0" fontId="87" fillId="9" borderId="0" xfId="0" applyFont="1" applyFill="1" applyBorder="1" applyAlignment="1">
      <alignment horizontal="right" wrapText="1"/>
    </xf>
    <xf numFmtId="3" fontId="2" fillId="9" borderId="28" xfId="0" applyNumberFormat="1" applyFont="1" applyFill="1" applyBorder="1" applyAlignment="1">
      <alignment horizontal="right" vertical="center" wrapText="1"/>
    </xf>
    <xf numFmtId="164" fontId="2" fillId="9" borderId="28" xfId="9" applyNumberFormat="1" applyFont="1" applyFill="1" applyBorder="1" applyAlignment="1">
      <alignment horizontal="right"/>
    </xf>
    <xf numFmtId="0" fontId="87" fillId="9" borderId="28" xfId="0" applyFont="1" applyFill="1" applyBorder="1" applyAlignment="1">
      <alignment wrapText="1"/>
    </xf>
    <xf numFmtId="0" fontId="87" fillId="9" borderId="28" xfId="0" applyFont="1" applyFill="1" applyBorder="1" applyAlignment="1">
      <alignment horizontal="right" wrapText="1"/>
    </xf>
    <xf numFmtId="4" fontId="5" fillId="9" borderId="28" xfId="0" applyNumberFormat="1" applyFont="1" applyFill="1" applyBorder="1" applyAlignment="1">
      <alignment horizontal="right"/>
    </xf>
    <xf numFmtId="4" fontId="2" fillId="9" borderId="28" xfId="9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center" wrapText="1" indent="1"/>
    </xf>
    <xf numFmtId="0" fontId="44" fillId="9" borderId="0" xfId="6" applyFont="1" applyFill="1" applyBorder="1" applyAlignment="1">
      <alignment horizontal="center" vertical="center" wrapText="1"/>
    </xf>
    <xf numFmtId="0" fontId="44" fillId="9" borderId="0" xfId="3" applyFont="1" applyFill="1" applyBorder="1" applyAlignment="1">
      <alignment horizontal="center" vertical="center" wrapText="1"/>
    </xf>
    <xf numFmtId="3" fontId="5" fillId="11" borderId="0" xfId="0" applyNumberFormat="1" applyFont="1" applyFill="1" applyBorder="1"/>
    <xf numFmtId="3" fontId="83" fillId="11" borderId="0" xfId="0" applyNumberFormat="1" applyFont="1" applyFill="1" applyBorder="1"/>
    <xf numFmtId="170" fontId="2" fillId="9" borderId="0" xfId="0" applyNumberFormat="1" applyFont="1" applyFill="1" applyBorder="1"/>
    <xf numFmtId="170" fontId="2" fillId="9" borderId="28" xfId="0" applyNumberFormat="1" applyFont="1" applyFill="1" applyBorder="1"/>
    <xf numFmtId="0" fontId="0" fillId="0" borderId="0" xfId="0"/>
    <xf numFmtId="9" fontId="0" fillId="9" borderId="0" xfId="9" applyFont="1" applyFill="1" applyBorder="1"/>
    <xf numFmtId="0" fontId="0" fillId="9" borderId="0" xfId="0" applyFill="1" applyBorder="1"/>
    <xf numFmtId="0" fontId="44" fillId="9" borderId="0" xfId="19" applyFont="1" applyFill="1" applyBorder="1" applyAlignment="1">
      <alignment vertical="center" wrapText="1"/>
    </xf>
    <xf numFmtId="0" fontId="44" fillId="9" borderId="0" xfId="19" applyFont="1" applyFill="1" applyBorder="1" applyAlignment="1">
      <alignment horizontal="center" vertical="center" wrapText="1"/>
    </xf>
    <xf numFmtId="0" fontId="43" fillId="9" borderId="0" xfId="19" applyFont="1" applyFill="1" applyBorder="1" applyAlignment="1">
      <alignment horizontal="justify" vertical="center" wrapText="1"/>
    </xf>
    <xf numFmtId="0" fontId="46" fillId="9" borderId="0" xfId="19" applyFont="1" applyFill="1" applyBorder="1" applyAlignment="1">
      <alignment horizontal="right" vertical="center" wrapText="1"/>
    </xf>
    <xf numFmtId="164" fontId="46" fillId="9" borderId="0" xfId="19" applyNumberFormat="1" applyFont="1" applyFill="1" applyBorder="1" applyAlignment="1">
      <alignment horizontal="right" vertical="center" wrapText="1"/>
    </xf>
    <xf numFmtId="0" fontId="43" fillId="9" borderId="0" xfId="19" applyFont="1" applyFill="1" applyBorder="1" applyAlignment="1">
      <alignment horizontal="right" vertical="center" wrapText="1"/>
    </xf>
    <xf numFmtId="0" fontId="44" fillId="9" borderId="0" xfId="19" applyFont="1" applyFill="1" applyBorder="1" applyAlignment="1">
      <alignment horizontal="right" vertical="center" wrapText="1"/>
    </xf>
    <xf numFmtId="0" fontId="44" fillId="9" borderId="0" xfId="19" applyFont="1" applyFill="1" applyBorder="1" applyAlignment="1">
      <alignment horizontal="justify" vertical="center" wrapText="1"/>
    </xf>
    <xf numFmtId="3" fontId="45" fillId="9" borderId="0" xfId="19" applyNumberFormat="1" applyFont="1" applyFill="1" applyBorder="1" applyAlignment="1">
      <alignment horizontal="right" vertical="center" wrapText="1"/>
    </xf>
    <xf numFmtId="0" fontId="45" fillId="9" borderId="0" xfId="19" applyFont="1" applyFill="1" applyBorder="1" applyAlignment="1">
      <alignment horizontal="right" vertical="center" wrapText="1"/>
    </xf>
    <xf numFmtId="0" fontId="47" fillId="9" borderId="0" xfId="19" applyFont="1" applyFill="1" applyBorder="1" applyAlignment="1">
      <alignment horizontal="justify" vertical="center" wrapText="1"/>
    </xf>
    <xf numFmtId="0" fontId="51" fillId="9" borderId="0" xfId="19" applyFont="1" applyFill="1" applyBorder="1" applyAlignment="1">
      <alignment horizontal="right" vertical="center" wrapText="1"/>
    </xf>
    <xf numFmtId="14" fontId="44" fillId="9" borderId="0" xfId="19" applyNumberFormat="1" applyFont="1" applyFill="1" applyBorder="1" applyAlignment="1">
      <alignment horizontal="center" vertical="center" wrapText="1"/>
    </xf>
    <xf numFmtId="171" fontId="45" fillId="9" borderId="0" xfId="19" applyNumberFormat="1" applyFont="1" applyFill="1" applyBorder="1" applyAlignment="1">
      <alignment horizontal="right" vertical="center" wrapText="1"/>
    </xf>
    <xf numFmtId="164" fontId="45" fillId="9" borderId="0" xfId="19" applyNumberFormat="1" applyFont="1" applyFill="1" applyBorder="1" applyAlignment="1">
      <alignment horizontal="right" vertical="center" wrapText="1"/>
    </xf>
    <xf numFmtId="175" fontId="48" fillId="9" borderId="0" xfId="19" applyNumberFormat="1" applyFont="1" applyFill="1" applyBorder="1" applyAlignment="1">
      <alignment horizontal="center" vertical="center" wrapText="1"/>
    </xf>
    <xf numFmtId="0" fontId="48" fillId="9" borderId="0" xfId="19" applyFont="1" applyFill="1" applyBorder="1" applyAlignment="1">
      <alignment horizontal="justify" vertical="center" wrapText="1"/>
    </xf>
    <xf numFmtId="3" fontId="52" fillId="9" borderId="0" xfId="19" applyNumberFormat="1" applyFont="1" applyFill="1" applyBorder="1" applyAlignment="1">
      <alignment horizontal="right" vertical="center" wrapText="1"/>
    </xf>
    <xf numFmtId="0" fontId="43" fillId="9" borderId="0" xfId="3" applyFont="1" applyFill="1" applyBorder="1"/>
    <xf numFmtId="0" fontId="45" fillId="9" borderId="0" xfId="19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center" vertical="center" wrapText="1"/>
    </xf>
    <xf numFmtId="0" fontId="43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left" vertical="center" wrapText="1"/>
    </xf>
    <xf numFmtId="0" fontId="43" fillId="9" borderId="0" xfId="3" applyFont="1" applyFill="1" applyBorder="1" applyAlignment="1">
      <alignment horizontal="right" vertical="center" wrapText="1"/>
    </xf>
    <xf numFmtId="0" fontId="44" fillId="9" borderId="0" xfId="3" applyFont="1" applyFill="1" applyBorder="1" applyAlignment="1">
      <alignment horizontal="left" vertical="center" wrapText="1"/>
    </xf>
    <xf numFmtId="0" fontId="44" fillId="9" borderId="0" xfId="3" applyFont="1" applyFill="1" applyBorder="1" applyAlignment="1">
      <alignment horizontal="right" vertical="center" wrapText="1"/>
    </xf>
    <xf numFmtId="0" fontId="48" fillId="9" borderId="0" xfId="19" applyFont="1" applyFill="1" applyBorder="1" applyAlignment="1">
      <alignment horizontal="center" vertical="center" wrapText="1"/>
    </xf>
    <xf numFmtId="0" fontId="59" fillId="10" borderId="0" xfId="19" applyFont="1" applyFill="1" applyBorder="1" applyAlignment="1">
      <alignment horizontal="center" vertical="center" wrapText="1"/>
    </xf>
    <xf numFmtId="0" fontId="59" fillId="9" borderId="0" xfId="19" applyFont="1" applyFill="1" applyBorder="1" applyAlignment="1">
      <alignment horizontal="center" vertical="center" wrapText="1"/>
    </xf>
    <xf numFmtId="0" fontId="46" fillId="9" borderId="0" xfId="19" applyFont="1" applyFill="1" applyBorder="1" applyAlignment="1">
      <alignment horizontal="right" vertical="center" wrapText="1" indent="1"/>
    </xf>
    <xf numFmtId="164" fontId="46" fillId="9" borderId="0" xfId="19" applyNumberFormat="1" applyFont="1" applyFill="1" applyBorder="1" applyAlignment="1">
      <alignment horizontal="right" vertical="center" wrapText="1" indent="1"/>
    </xf>
    <xf numFmtId="0" fontId="54" fillId="9" borderId="0" xfId="0" applyFont="1" applyFill="1" applyAlignment="1">
      <alignment vertical="center"/>
    </xf>
    <xf numFmtId="0" fontId="66" fillId="11" borderId="0" xfId="19" applyFont="1" applyFill="1" applyBorder="1" applyAlignment="1">
      <alignment horizontal="justify" vertical="center" wrapText="1"/>
    </xf>
    <xf numFmtId="0" fontId="66" fillId="9" borderId="0" xfId="19" applyFont="1" applyFill="1" applyBorder="1" applyAlignment="1">
      <alignment horizontal="justify" vertical="center" wrapText="1"/>
    </xf>
    <xf numFmtId="3" fontId="67" fillId="9" borderId="0" xfId="19" applyNumberFormat="1" applyFont="1" applyFill="1" applyBorder="1" applyAlignment="1">
      <alignment horizontal="right" vertical="center" wrapText="1" indent="1"/>
    </xf>
    <xf numFmtId="171" fontId="67" fillId="9" borderId="0" xfId="19" applyNumberFormat="1" applyFont="1" applyFill="1" applyBorder="1" applyAlignment="1">
      <alignment horizontal="right" vertical="center" wrapText="1" indent="1"/>
    </xf>
    <xf numFmtId="164" fontId="67" fillId="9" borderId="0" xfId="19" applyNumberFormat="1" applyFont="1" applyFill="1" applyBorder="1" applyAlignment="1">
      <alignment horizontal="right" vertical="center" wrapText="1" indent="1"/>
    </xf>
    <xf numFmtId="0" fontId="66" fillId="9" borderId="0" xfId="19" applyFont="1" applyFill="1" applyBorder="1" applyAlignment="1">
      <alignment horizontal="right" vertical="center" wrapText="1"/>
    </xf>
    <xf numFmtId="0" fontId="80" fillId="9" borderId="0" xfId="19" applyFont="1" applyFill="1" applyBorder="1" applyAlignment="1">
      <alignment horizontal="right" vertical="center" wrapText="1" indent="1"/>
    </xf>
    <xf numFmtId="164" fontId="80" fillId="9" borderId="0" xfId="19" applyNumberFormat="1" applyFont="1" applyFill="1" applyBorder="1" applyAlignment="1">
      <alignment horizontal="right" vertical="center" wrapText="1" indent="1"/>
    </xf>
    <xf numFmtId="3" fontId="81" fillId="9" borderId="0" xfId="19" applyNumberFormat="1" applyFont="1" applyFill="1" applyBorder="1" applyAlignment="1">
      <alignment horizontal="right" vertical="center" wrapText="1" indent="1"/>
    </xf>
    <xf numFmtId="171" fontId="81" fillId="9" borderId="0" xfId="19" applyNumberFormat="1" applyFont="1" applyFill="1" applyBorder="1" applyAlignment="1">
      <alignment horizontal="right" vertical="center" wrapText="1" indent="1"/>
    </xf>
    <xf numFmtId="0" fontId="88" fillId="9" borderId="0" xfId="19" applyFont="1" applyFill="1" applyBorder="1" applyAlignment="1">
      <alignment horizontal="right" vertical="center" wrapText="1" indent="1"/>
    </xf>
    <xf numFmtId="164" fontId="88" fillId="9" borderId="0" xfId="19" applyNumberFormat="1" applyFont="1" applyFill="1" applyBorder="1" applyAlignment="1">
      <alignment horizontal="right" vertical="center" wrapText="1" indent="1"/>
    </xf>
    <xf numFmtId="3" fontId="89" fillId="11" borderId="0" xfId="19" applyNumberFormat="1" applyFont="1" applyFill="1" applyBorder="1" applyAlignment="1">
      <alignment horizontal="right" vertical="center" wrapText="1" indent="1"/>
    </xf>
    <xf numFmtId="171" fontId="89" fillId="11" borderId="0" xfId="19" applyNumberFormat="1" applyFont="1" applyFill="1" applyBorder="1" applyAlignment="1">
      <alignment horizontal="right" vertical="center" wrapText="1" indent="1"/>
    </xf>
    <xf numFmtId="0" fontId="54" fillId="10" borderId="0" xfId="6" applyFont="1" applyFill="1" applyBorder="1" applyAlignment="1">
      <alignment horizontal="center" vertical="center"/>
    </xf>
    <xf numFmtId="174" fontId="54" fillId="10" borderId="0" xfId="6" applyNumberFormat="1" applyFont="1" applyFill="1" applyBorder="1" applyAlignment="1">
      <alignment horizontal="center" vertical="center" wrapText="1"/>
    </xf>
    <xf numFmtId="0" fontId="54" fillId="10" borderId="0" xfId="0" applyFont="1" applyFill="1" applyBorder="1" applyAlignment="1">
      <alignment horizontal="center" vertical="center"/>
    </xf>
    <xf numFmtId="0" fontId="0" fillId="0" borderId="0" xfId="0" applyAlignment="1"/>
    <xf numFmtId="0" fontId="34" fillId="9" borderId="0" xfId="0" applyFont="1" applyFill="1" applyBorder="1" applyAlignment="1">
      <alignment horizontal="center"/>
    </xf>
    <xf numFmtId="0" fontId="57" fillId="10" borderId="0" xfId="0" applyFont="1" applyFill="1" applyBorder="1" applyAlignment="1">
      <alignment horizontal="center" vertical="center"/>
    </xf>
    <xf numFmtId="0" fontId="53" fillId="10" borderId="0" xfId="0" applyFont="1" applyFill="1" applyBorder="1" applyAlignment="1">
      <alignment horizontal="center" vertical="center"/>
    </xf>
    <xf numFmtId="0" fontId="54" fillId="10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/>
    </xf>
    <xf numFmtId="0" fontId="36" fillId="9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/>
    </xf>
    <xf numFmtId="0" fontId="54" fillId="10" borderId="0" xfId="3" applyFont="1" applyFill="1" applyBorder="1" applyAlignment="1">
      <alignment horizontal="center" vertical="center"/>
    </xf>
    <xf numFmtId="0" fontId="54" fillId="10" borderId="0" xfId="0" applyFont="1" applyFill="1" applyAlignment="1">
      <alignment horizontal="center" vertical="center"/>
    </xf>
    <xf numFmtId="0" fontId="59" fillId="10" borderId="0" xfId="19" applyFont="1" applyFill="1" applyBorder="1" applyAlignment="1">
      <alignment horizontal="center" vertical="center" wrapText="1"/>
    </xf>
    <xf numFmtId="0" fontId="44" fillId="9" borderId="0" xfId="19" applyFont="1" applyFill="1" applyBorder="1" applyAlignment="1">
      <alignment horizontal="center" vertical="center" wrapText="1"/>
    </xf>
    <xf numFmtId="14" fontId="44" fillId="9" borderId="0" xfId="19" applyNumberFormat="1" applyFont="1" applyFill="1" applyBorder="1" applyAlignment="1">
      <alignment horizontal="center" vertical="center" wrapText="1"/>
    </xf>
    <xf numFmtId="0" fontId="44" fillId="9" borderId="0" xfId="3" applyFont="1" applyFill="1" applyBorder="1" applyAlignment="1">
      <alignment horizontal="left" vertical="center"/>
    </xf>
    <xf numFmtId="0" fontId="44" fillId="9" borderId="0" xfId="3" applyFont="1" applyFill="1" applyBorder="1" applyAlignment="1">
      <alignment horizontal="center" vertical="center" wrapText="1"/>
    </xf>
    <xf numFmtId="0" fontId="48" fillId="9" borderId="0" xfId="19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horizontal="justify" vertical="center"/>
    </xf>
    <xf numFmtId="0" fontId="69" fillId="9" borderId="0" xfId="0" applyFont="1" applyFill="1" applyBorder="1" applyAlignment="1">
      <alignment horizontal="justify" vertical="center"/>
    </xf>
    <xf numFmtId="0" fontId="38" fillId="9" borderId="0" xfId="0" quotePrefix="1" applyFont="1" applyFill="1" applyBorder="1" applyAlignment="1">
      <alignment horizontal="justify" vertical="center"/>
    </xf>
    <xf numFmtId="0" fontId="10" fillId="3" borderId="8" xfId="5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10" fillId="6" borderId="7" xfId="5" applyFont="1" applyFill="1" applyBorder="1" applyAlignment="1">
      <alignment horizontal="center"/>
    </xf>
    <xf numFmtId="0" fontId="10" fillId="6" borderId="2" xfId="5" applyFont="1" applyFill="1" applyBorder="1" applyAlignment="1">
      <alignment horizontal="center"/>
    </xf>
    <xf numFmtId="0" fontId="10" fillId="6" borderId="6" xfId="5" applyFont="1" applyFill="1" applyBorder="1" applyAlignment="1">
      <alignment horizontal="center"/>
    </xf>
    <xf numFmtId="0" fontId="10" fillId="0" borderId="8" xfId="5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/>
    </xf>
    <xf numFmtId="0" fontId="10" fillId="0" borderId="6" xfId="5" applyFont="1" applyFill="1" applyBorder="1" applyAlignment="1">
      <alignment horizontal="center"/>
    </xf>
    <xf numFmtId="0" fontId="9" fillId="4" borderId="8" xfId="5" quotePrefix="1" applyFont="1" applyFill="1" applyBorder="1" applyAlignment="1">
      <alignment horizontal="center" vertical="center" wrapText="1"/>
    </xf>
    <xf numFmtId="0" fontId="9" fillId="4" borderId="10" xfId="5" quotePrefix="1" applyFont="1" applyFill="1" applyBorder="1" applyAlignment="1">
      <alignment horizontal="center" vertical="center" wrapText="1"/>
    </xf>
    <xf numFmtId="0" fontId="9" fillId="4" borderId="11" xfId="5" quotePrefix="1" applyFont="1" applyFill="1" applyBorder="1" applyAlignment="1">
      <alignment horizontal="center" vertical="center" wrapText="1"/>
    </xf>
    <xf numFmtId="0" fontId="9" fillId="4" borderId="12" xfId="5" quotePrefix="1" applyFont="1" applyFill="1" applyBorder="1" applyAlignment="1">
      <alignment horizontal="center" vertical="center" wrapText="1"/>
    </xf>
    <xf numFmtId="0" fontId="9" fillId="4" borderId="13" xfId="5" quotePrefix="1" applyFont="1" applyFill="1" applyBorder="1" applyAlignment="1">
      <alignment horizontal="center" vertical="center" wrapText="1"/>
    </xf>
    <xf numFmtId="0" fontId="9" fillId="4" borderId="14" xfId="5" quotePrefix="1" applyFont="1" applyFill="1" applyBorder="1" applyAlignment="1">
      <alignment horizontal="center" vertical="center" wrapText="1"/>
    </xf>
    <xf numFmtId="0" fontId="9" fillId="5" borderId="70" xfId="5" applyFont="1" applyFill="1" applyBorder="1" applyAlignment="1">
      <alignment horizontal="center" vertical="center" wrapText="1"/>
    </xf>
    <xf numFmtId="0" fontId="9" fillId="5" borderId="80" xfId="5" applyFont="1" applyFill="1" applyBorder="1" applyAlignment="1">
      <alignment horizontal="center" vertical="center" wrapText="1"/>
    </xf>
    <xf numFmtId="168" fontId="9" fillId="5" borderId="67" xfId="5" applyNumberFormat="1" applyFont="1" applyFill="1" applyBorder="1" applyAlignment="1">
      <alignment horizontal="center"/>
    </xf>
    <xf numFmtId="168" fontId="9" fillId="5" borderId="68" xfId="5" applyNumberFormat="1" applyFont="1" applyFill="1" applyBorder="1" applyAlignment="1">
      <alignment horizontal="center"/>
    </xf>
    <xf numFmtId="168" fontId="9" fillId="5" borderId="72" xfId="5" applyNumberFormat="1" applyFont="1" applyFill="1" applyBorder="1" applyAlignment="1">
      <alignment horizontal="center"/>
    </xf>
    <xf numFmtId="168" fontId="9" fillId="5" borderId="69" xfId="5" applyNumberFormat="1" applyFont="1" applyFill="1" applyBorder="1" applyAlignment="1">
      <alignment horizontal="center"/>
    </xf>
    <xf numFmtId="0" fontId="9" fillId="5" borderId="71" xfId="5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horizontal="center" vertical="center" wrapText="1"/>
    </xf>
    <xf numFmtId="0" fontId="9" fillId="5" borderId="80" xfId="0" applyFont="1" applyFill="1" applyBorder="1" applyAlignment="1">
      <alignment horizontal="center" vertical="center" wrapText="1"/>
    </xf>
    <xf numFmtId="17" fontId="9" fillId="5" borderId="67" xfId="0" applyNumberFormat="1" applyFont="1" applyFill="1" applyBorder="1" applyAlignment="1">
      <alignment horizontal="center"/>
    </xf>
    <xf numFmtId="17" fontId="9" fillId="5" borderId="68" xfId="0" applyNumberFormat="1" applyFont="1" applyFill="1" applyBorder="1" applyAlignment="1">
      <alignment horizontal="center"/>
    </xf>
    <xf numFmtId="17" fontId="9" fillId="5" borderId="72" xfId="0" applyNumberFormat="1" applyFont="1" applyFill="1" applyBorder="1" applyAlignment="1">
      <alignment horizontal="center"/>
    </xf>
    <xf numFmtId="17" fontId="9" fillId="5" borderId="69" xfId="0" applyNumberFormat="1" applyFont="1" applyFill="1" applyBorder="1" applyAlignment="1">
      <alignment horizontal="center"/>
    </xf>
    <xf numFmtId="17" fontId="9" fillId="5" borderId="67" xfId="5" applyNumberFormat="1" applyFont="1" applyFill="1" applyBorder="1" applyAlignment="1">
      <alignment horizontal="center"/>
    </xf>
    <xf numFmtId="17" fontId="9" fillId="5" borderId="68" xfId="5" applyNumberFormat="1" applyFont="1" applyFill="1" applyBorder="1" applyAlignment="1">
      <alignment horizontal="center"/>
    </xf>
    <xf numFmtId="17" fontId="9" fillId="5" borderId="69" xfId="5" applyNumberFormat="1" applyFont="1" applyFill="1" applyBorder="1" applyAlignment="1">
      <alignment horizontal="center"/>
    </xf>
    <xf numFmtId="0" fontId="9" fillId="5" borderId="71" xfId="0" applyFont="1" applyFill="1" applyBorder="1" applyAlignment="1">
      <alignment horizontal="center" vertical="center" wrapText="1"/>
    </xf>
    <xf numFmtId="168" fontId="9" fillId="5" borderId="67" xfId="0" applyNumberFormat="1" applyFont="1" applyFill="1" applyBorder="1" applyAlignment="1">
      <alignment horizontal="center"/>
    </xf>
    <xf numFmtId="168" fontId="9" fillId="5" borderId="68" xfId="0" applyNumberFormat="1" applyFont="1" applyFill="1" applyBorder="1" applyAlignment="1">
      <alignment horizontal="center"/>
    </xf>
    <xf numFmtId="168" fontId="9" fillId="5" borderId="72" xfId="0" applyNumberFormat="1" applyFont="1" applyFill="1" applyBorder="1" applyAlignment="1">
      <alignment horizontal="center"/>
    </xf>
    <xf numFmtId="168" fontId="9" fillId="5" borderId="69" xfId="0" applyNumberFormat="1" applyFont="1" applyFill="1" applyBorder="1" applyAlignment="1">
      <alignment horizontal="center"/>
    </xf>
    <xf numFmtId="0" fontId="9" fillId="5" borderId="73" xfId="0" applyFont="1" applyFill="1" applyBorder="1" applyAlignment="1">
      <alignment horizontal="center" vertical="center" wrapText="1"/>
    </xf>
    <xf numFmtId="0" fontId="25" fillId="0" borderId="0" xfId="8" applyFont="1" applyAlignment="1">
      <alignment horizontal="center"/>
    </xf>
    <xf numFmtId="0" fontId="20" fillId="7" borderId="74" xfId="8" applyFont="1" applyFill="1" applyBorder="1" applyAlignment="1">
      <alignment horizontal="center"/>
    </xf>
    <xf numFmtId="0" fontId="20" fillId="7" borderId="54" xfId="8" applyFont="1" applyFill="1" applyBorder="1" applyAlignment="1">
      <alignment horizontal="center"/>
    </xf>
    <xf numFmtId="0" fontId="20" fillId="7" borderId="75" xfId="8" applyFont="1" applyFill="1" applyBorder="1" applyAlignment="1">
      <alignment horizontal="center"/>
    </xf>
    <xf numFmtId="0" fontId="21" fillId="0" borderId="76" xfId="8" applyFont="1" applyBorder="1" applyAlignment="1">
      <alignment horizontal="center" vertical="center"/>
    </xf>
    <xf numFmtId="0" fontId="21" fillId="0" borderId="47" xfId="8" applyFont="1" applyBorder="1" applyAlignment="1">
      <alignment horizontal="center" vertical="center"/>
    </xf>
  </cellXfs>
  <cellStyles count="23">
    <cellStyle name="Hipervínculo 2" xfId="13" xr:uid="{00000000-0005-0000-0000-000000000000}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15" xr:uid="{00000000-0005-0000-0000-000005000000}"/>
    <cellStyle name="Normal 2 2 2 2" xfId="21" xr:uid="{191598B1-B6B8-412E-BD08-DED1D8A48112}"/>
    <cellStyle name="Normal 2 3" xfId="4" xr:uid="{00000000-0005-0000-0000-000006000000}"/>
    <cellStyle name="Normal 3" xfId="5" xr:uid="{00000000-0005-0000-0000-000007000000}"/>
    <cellStyle name="Normal 3 2" xfId="17" xr:uid="{00000000-0005-0000-0000-000008000000}"/>
    <cellStyle name="Normal 4" xfId="6" xr:uid="{00000000-0005-0000-0000-000009000000}"/>
    <cellStyle name="Normal 4 2" xfId="19" xr:uid="{FA84B88C-6753-4438-A053-FA1676549580}"/>
    <cellStyle name="Normal 5" xfId="7" xr:uid="{00000000-0005-0000-0000-00000A000000}"/>
    <cellStyle name="Normal 6" xfId="8" xr:uid="{00000000-0005-0000-0000-00000B000000}"/>
    <cellStyle name="Normal 6 2" xfId="20" xr:uid="{99A12F46-8AE1-44A8-9710-7D4064E207BE}"/>
    <cellStyle name="Normal 7" xfId="14" xr:uid="{00000000-0005-0000-0000-00000C000000}"/>
    <cellStyle name="Porcentaje" xfId="9" builtinId="5"/>
    <cellStyle name="Porcentaje 2" xfId="10" xr:uid="{00000000-0005-0000-0000-00000E000000}"/>
    <cellStyle name="Porcentaje 2 2" xfId="16" xr:uid="{00000000-0005-0000-0000-00000F000000}"/>
    <cellStyle name="Porcentaje 2 2 2" xfId="22" xr:uid="{454AAF9F-A143-4427-B480-A742E95EA619}"/>
    <cellStyle name="Porcentaje 3" xfId="11" xr:uid="{00000000-0005-0000-0000-000010000000}"/>
    <cellStyle name="Porcentaje 3 2" xfId="18" xr:uid="{00000000-0005-0000-0000-000011000000}"/>
    <cellStyle name="Porcentaje 4" xfId="12" xr:uid="{00000000-0005-0000-0000-000012000000}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6522153786341E-2"/>
          <c:y val="0.10807815740816264"/>
          <c:w val="0.93850454227812719"/>
          <c:h val="0.658210307981165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Mercados!$D$28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Mercados!$D$29:$D$31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DCA-4F26-8A17-0607E6ABEAD3}"/>
            </c:ext>
          </c:extLst>
        </c:ser>
        <c:ser>
          <c:idx val="1"/>
          <c:order val="1"/>
          <c:tx>
            <c:strRef>
              <c:f>Mercados!$E$28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Mercados!$E$29:$E$31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DCA-4F26-8A17-0607E6AB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528096"/>
        <c:axId val="190530528"/>
      </c:barChart>
      <c:catAx>
        <c:axId val="19052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530528"/>
        <c:crosses val="autoZero"/>
        <c:auto val="1"/>
        <c:lblAlgn val="ctr"/>
        <c:lblOffset val="100"/>
        <c:noMultiLvlLbl val="0"/>
      </c:catAx>
      <c:valAx>
        <c:axId val="190530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0528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859823846129907"/>
          <c:y val="0.88045651951163761"/>
          <c:w val="0.28807900988661"/>
          <c:h val="0.11954348048836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2-41D5-9E26-50080369E9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2-41D5-9E26-50080369E9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C2-41D5-9E26-50080369E9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C2-41D5-9E26-50080369E9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Mercados!$I$29:$I$32</c:f>
              <c:numCache>
                <c:formatCode>General</c:formatCode>
                <c:ptCount val="4"/>
              </c:numCache>
            </c:numRef>
          </c:cat>
          <c:val>
            <c:numRef>
              <c:f>Mercados!$L$29:$L$32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3C2-41D5-9E26-50080369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DF4-47B3-93F8-7F677D73F32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DF4-47B3-93F8-7F677D73F32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DF4-47B3-93F8-7F677D73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698904"/>
        <c:axId val="190623088"/>
      </c:barChart>
      <c:catAx>
        <c:axId val="19069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0623088"/>
        <c:crosses val="autoZero"/>
        <c:auto val="1"/>
        <c:lblAlgn val="ctr"/>
        <c:lblOffset val="100"/>
        <c:noMultiLvlLbl val="0"/>
      </c:catAx>
      <c:valAx>
        <c:axId val="1906230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06989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38</xdr:row>
      <xdr:rowOff>180975</xdr:rowOff>
    </xdr:from>
    <xdr:to>
      <xdr:col>19</xdr:col>
      <xdr:colOff>219075</xdr:colOff>
      <xdr:row>55</xdr:row>
      <xdr:rowOff>142875</xdr:rowOff>
    </xdr:to>
    <xdr:graphicFrame macro="">
      <xdr:nvGraphicFramePr>
        <xdr:cNvPr id="2059" name="2 Gráfico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39</xdr:row>
      <xdr:rowOff>85725</xdr:rowOff>
    </xdr:from>
    <xdr:to>
      <xdr:col>9</xdr:col>
      <xdr:colOff>685800</xdr:colOff>
      <xdr:row>53</xdr:row>
      <xdr:rowOff>19050</xdr:rowOff>
    </xdr:to>
    <xdr:graphicFrame macro="">
      <xdr:nvGraphicFramePr>
        <xdr:cNvPr id="2060" name="3 Gráfico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66</xdr:row>
      <xdr:rowOff>66675</xdr:rowOff>
    </xdr:from>
    <xdr:to>
      <xdr:col>20</xdr:col>
      <xdr:colOff>152399</xdr:colOff>
      <xdr:row>80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  <pageSetUpPr fitToPage="1"/>
  </sheetPr>
  <dimension ref="A1:J36"/>
  <sheetViews>
    <sheetView zoomScaleNormal="100" workbookViewId="0">
      <selection activeCell="M27" sqref="M27"/>
    </sheetView>
  </sheetViews>
  <sheetFormatPr baseColWidth="10" defaultColWidth="11" defaultRowHeight="14.5" x14ac:dyDescent="0.35"/>
  <cols>
    <col min="1" max="1" width="9.58203125" style="531" customWidth="1"/>
    <col min="2" max="2" width="46.08203125" style="531" bestFit="1" customWidth="1"/>
    <col min="3" max="3" width="0.83203125" style="531" customWidth="1"/>
    <col min="4" max="4" width="12.25" style="775" customWidth="1"/>
    <col min="5" max="5" width="0.83203125" style="531" customWidth="1"/>
    <col min="6" max="6" width="12.25" style="775" customWidth="1"/>
    <col min="7" max="7" width="0.83203125" style="531" customWidth="1"/>
    <col min="8" max="8" width="12.25" style="775" customWidth="1"/>
    <col min="9" max="9" width="0.83203125" style="531" customWidth="1"/>
    <col min="10" max="10" width="12.25" style="775" customWidth="1"/>
    <col min="11" max="16384" width="11" style="531"/>
  </cols>
  <sheetData>
    <row r="1" spans="1:10" ht="15.5" x14ac:dyDescent="0.35">
      <c r="A1" s="529"/>
      <c r="B1" s="530"/>
      <c r="C1" s="530"/>
      <c r="D1" s="765"/>
      <c r="E1" s="529"/>
    </row>
    <row r="2" spans="1:10" ht="17.5" x14ac:dyDescent="0.35">
      <c r="A2" s="529"/>
      <c r="B2" s="918" t="s">
        <v>548</v>
      </c>
      <c r="C2" s="918"/>
      <c r="D2" s="918"/>
      <c r="E2" s="918"/>
      <c r="F2" s="918"/>
      <c r="G2" s="918"/>
      <c r="H2" s="918"/>
      <c r="I2" s="918"/>
      <c r="J2" s="918"/>
    </row>
    <row r="3" spans="1:10" ht="15.5" x14ac:dyDescent="0.35">
      <c r="A3" s="529"/>
      <c r="B3" s="533"/>
      <c r="C3" s="533"/>
      <c r="D3" s="766"/>
      <c r="E3" s="533"/>
      <c r="F3" s="766"/>
      <c r="G3" s="533"/>
      <c r="H3" s="766"/>
      <c r="I3" s="533"/>
      <c r="J3" s="766"/>
    </row>
    <row r="4" spans="1:10" ht="30" x14ac:dyDescent="0.35">
      <c r="A4" s="526"/>
      <c r="B4" s="694" t="s">
        <v>300</v>
      </c>
      <c r="C4" s="529"/>
      <c r="D4" s="767" t="s">
        <v>647</v>
      </c>
      <c r="E4" s="532"/>
      <c r="F4" s="767" t="s">
        <v>631</v>
      </c>
      <c r="G4" s="532"/>
      <c r="H4" s="767" t="s">
        <v>301</v>
      </c>
      <c r="I4" s="532"/>
      <c r="J4" s="767" t="s">
        <v>558</v>
      </c>
    </row>
    <row r="5" spans="1:10" ht="15.5" x14ac:dyDescent="0.35">
      <c r="A5" s="526"/>
      <c r="B5" s="529"/>
      <c r="C5" s="529"/>
      <c r="D5" s="768"/>
      <c r="E5" s="532"/>
      <c r="F5" s="768"/>
      <c r="G5" s="532"/>
      <c r="H5" s="768"/>
      <c r="I5" s="532"/>
      <c r="J5" s="768"/>
    </row>
    <row r="6" spans="1:10" ht="15.5" x14ac:dyDescent="0.35">
      <c r="A6" s="526"/>
      <c r="B6" s="540" t="s">
        <v>226</v>
      </c>
      <c r="C6" s="529"/>
      <c r="D6" s="803">
        <f>SUM(D7:D12)</f>
        <v>585320</v>
      </c>
      <c r="E6" s="527"/>
      <c r="F6" s="769">
        <v>689073</v>
      </c>
      <c r="G6" s="527"/>
      <c r="H6" s="777">
        <f>(D6-F6)/F6*100</f>
        <v>-15.056895278149049</v>
      </c>
      <c r="I6" s="534"/>
      <c r="J6" s="769">
        <f>+D6-F6</f>
        <v>-103753</v>
      </c>
    </row>
    <row r="7" spans="1:10" ht="15.5" x14ac:dyDescent="0.35">
      <c r="A7" s="526"/>
      <c r="B7" s="542" t="s">
        <v>545</v>
      </c>
      <c r="C7" s="526"/>
      <c r="D7" s="804">
        <v>547236</v>
      </c>
      <c r="E7" s="528"/>
      <c r="F7" s="770">
        <v>638737</v>
      </c>
      <c r="G7" s="528"/>
      <c r="H7" s="778">
        <f t="shared" ref="H7:H12" si="0">+(D7-F7)/F7*100</f>
        <v>-14.325301336856954</v>
      </c>
      <c r="I7" s="535"/>
      <c r="J7" s="770">
        <f t="shared" ref="J7:J9" si="1">+D7-F7</f>
        <v>-91501</v>
      </c>
    </row>
    <row r="8" spans="1:10" ht="15.5" x14ac:dyDescent="0.35">
      <c r="A8" s="526"/>
      <c r="B8" s="542" t="s">
        <v>546</v>
      </c>
      <c r="C8" s="526"/>
      <c r="D8" s="804">
        <v>21561</v>
      </c>
      <c r="E8" s="528"/>
      <c r="F8" s="770">
        <v>31045</v>
      </c>
      <c r="G8" s="528"/>
      <c r="H8" s="778">
        <f t="shared" si="0"/>
        <v>-30.549202770172329</v>
      </c>
      <c r="I8" s="535"/>
      <c r="J8" s="770">
        <f t="shared" si="1"/>
        <v>-9484</v>
      </c>
    </row>
    <row r="9" spans="1:10" ht="15.5" x14ac:dyDescent="0.35">
      <c r="A9" s="526"/>
      <c r="B9" s="542" t="s">
        <v>302</v>
      </c>
      <c r="C9" s="526"/>
      <c r="D9" s="804">
        <v>12746</v>
      </c>
      <c r="E9" s="528"/>
      <c r="F9" s="770">
        <v>13466</v>
      </c>
      <c r="G9" s="528"/>
      <c r="H9" s="778">
        <f t="shared" si="0"/>
        <v>-5.3467993465023023</v>
      </c>
      <c r="I9" s="535"/>
      <c r="J9" s="770">
        <f t="shared" si="1"/>
        <v>-720</v>
      </c>
    </row>
    <row r="10" spans="1:10" ht="15.5" x14ac:dyDescent="0.35">
      <c r="A10" s="526"/>
      <c r="B10" s="542" t="s">
        <v>632</v>
      </c>
      <c r="C10" s="526"/>
      <c r="D10" s="804">
        <v>3777</v>
      </c>
      <c r="E10" s="528"/>
      <c r="F10" s="770">
        <v>2233</v>
      </c>
      <c r="G10" s="528"/>
      <c r="H10" s="778">
        <f t="shared" si="0"/>
        <v>69.144648454993288</v>
      </c>
      <c r="I10" s="535"/>
      <c r="J10" s="770">
        <f t="shared" ref="J10" si="2">+D10-F10</f>
        <v>1544</v>
      </c>
    </row>
    <row r="11" spans="1:10" ht="15.5" x14ac:dyDescent="0.35">
      <c r="A11" s="526"/>
      <c r="B11" s="542" t="s">
        <v>652</v>
      </c>
      <c r="C11" s="526"/>
      <c r="D11" s="810">
        <v>0</v>
      </c>
      <c r="E11" s="528"/>
      <c r="F11" s="770">
        <v>444</v>
      </c>
      <c r="G11" s="528"/>
      <c r="H11" s="778">
        <f t="shared" si="0"/>
        <v>-100</v>
      </c>
      <c r="I11" s="535"/>
      <c r="J11" s="770">
        <f>+D11-F11</f>
        <v>-444</v>
      </c>
    </row>
    <row r="12" spans="1:10" ht="15.5" x14ac:dyDescent="0.35">
      <c r="A12" s="529"/>
      <c r="B12" s="542" t="s">
        <v>633</v>
      </c>
      <c r="C12" s="526"/>
      <c r="D12" s="804">
        <v>0</v>
      </c>
      <c r="E12" s="528"/>
      <c r="F12" s="770">
        <v>3148</v>
      </c>
      <c r="G12" s="740"/>
      <c r="H12" s="778">
        <f t="shared" si="0"/>
        <v>-100</v>
      </c>
      <c r="I12" s="535"/>
      <c r="J12" s="770">
        <f>+D12-F12</f>
        <v>-3148</v>
      </c>
    </row>
    <row r="13" spans="1:10" ht="15.5" x14ac:dyDescent="0.35">
      <c r="A13" s="526"/>
      <c r="B13" s="526"/>
      <c r="C13" s="526"/>
      <c r="D13" s="805"/>
      <c r="E13" s="536"/>
      <c r="F13" s="771"/>
      <c r="G13" s="536"/>
      <c r="H13" s="778"/>
      <c r="I13" s="535"/>
      <c r="J13" s="781"/>
    </row>
    <row r="14" spans="1:10" ht="15.5" x14ac:dyDescent="0.35">
      <c r="A14" s="526"/>
      <c r="B14" s="540" t="s">
        <v>225</v>
      </c>
      <c r="C14" s="529"/>
      <c r="D14" s="803">
        <f>SUM(D15:D20)</f>
        <v>-535719</v>
      </c>
      <c r="E14" s="527"/>
      <c r="F14" s="769">
        <v>-628169</v>
      </c>
      <c r="G14" s="527"/>
      <c r="H14" s="777">
        <f>(D14-F14)/F14*100</f>
        <v>-14.717377011600382</v>
      </c>
      <c r="I14" s="534"/>
      <c r="J14" s="769">
        <f t="shared" ref="J14:J20" si="3">+D14-F14</f>
        <v>92450</v>
      </c>
    </row>
    <row r="15" spans="1:10" ht="15.5" x14ac:dyDescent="0.35">
      <c r="A15" s="526"/>
      <c r="B15" s="542" t="s">
        <v>85</v>
      </c>
      <c r="C15" s="526"/>
      <c r="D15" s="804">
        <v>-267946</v>
      </c>
      <c r="E15" s="528"/>
      <c r="F15" s="770">
        <v>-343573</v>
      </c>
      <c r="G15" s="528"/>
      <c r="H15" s="778">
        <f>+(D15-F15)/F15*100</f>
        <v>-22.011915953814764</v>
      </c>
      <c r="I15" s="535"/>
      <c r="J15" s="770">
        <f t="shared" si="3"/>
        <v>75627</v>
      </c>
    </row>
    <row r="16" spans="1:10" ht="15.5" x14ac:dyDescent="0.35">
      <c r="A16" s="526"/>
      <c r="B16" s="542" t="s">
        <v>653</v>
      </c>
      <c r="C16" s="526"/>
      <c r="D16" s="804">
        <v>-8202</v>
      </c>
      <c r="E16" s="528"/>
      <c r="F16" s="770">
        <v>0</v>
      </c>
      <c r="G16" s="528"/>
      <c r="H16" s="778" t="s">
        <v>634</v>
      </c>
      <c r="I16" s="535"/>
      <c r="J16" s="770">
        <f t="shared" si="3"/>
        <v>-8202</v>
      </c>
    </row>
    <row r="17" spans="1:10" ht="15.5" x14ac:dyDescent="0.35">
      <c r="A17" s="526"/>
      <c r="B17" s="542" t="s">
        <v>86</v>
      </c>
      <c r="C17" s="526"/>
      <c r="D17" s="804">
        <v>-72194</v>
      </c>
      <c r="E17" s="528"/>
      <c r="F17" s="770">
        <v>-96171</v>
      </c>
      <c r="G17" s="528"/>
      <c r="H17" s="778">
        <f>+(D17-F17)/F17*100</f>
        <v>-24.931632196816089</v>
      </c>
      <c r="I17" s="535"/>
      <c r="J17" s="770">
        <f t="shared" si="3"/>
        <v>23977</v>
      </c>
    </row>
    <row r="18" spans="1:10" ht="15.5" x14ac:dyDescent="0.35">
      <c r="A18" s="526"/>
      <c r="B18" s="542" t="s">
        <v>223</v>
      </c>
      <c r="C18" s="526"/>
      <c r="D18" s="804">
        <v>-84296</v>
      </c>
      <c r="E18" s="528"/>
      <c r="F18" s="770">
        <v>-83127</v>
      </c>
      <c r="G18" s="528"/>
      <c r="H18" s="778">
        <f>+(D18-F18)/F18*100</f>
        <v>1.4062819541183971</v>
      </c>
      <c r="I18" s="535"/>
      <c r="J18" s="770">
        <f t="shared" si="3"/>
        <v>-1169</v>
      </c>
    </row>
    <row r="19" spans="1:10" ht="15.5" x14ac:dyDescent="0.35">
      <c r="A19" s="526"/>
      <c r="B19" s="542" t="s">
        <v>224</v>
      </c>
      <c r="C19" s="526"/>
      <c r="D19" s="804">
        <v>-98398</v>
      </c>
      <c r="E19" s="528"/>
      <c r="F19" s="770">
        <v>-97461</v>
      </c>
      <c r="G19" s="528"/>
      <c r="H19" s="778">
        <f>+(D19-F19)/F19*100</f>
        <v>0.96141020510768416</v>
      </c>
      <c r="I19" s="535"/>
      <c r="J19" s="770">
        <f t="shared" si="3"/>
        <v>-937</v>
      </c>
    </row>
    <row r="20" spans="1:10" ht="15.5" x14ac:dyDescent="0.35">
      <c r="A20" s="529"/>
      <c r="B20" s="542" t="s">
        <v>635</v>
      </c>
      <c r="C20" s="526"/>
      <c r="D20" s="804">
        <v>-4683</v>
      </c>
      <c r="E20" s="528"/>
      <c r="F20" s="770">
        <v>-7837</v>
      </c>
      <c r="G20" s="528"/>
      <c r="H20" s="778">
        <f>+(D20-F20)/F20*100</f>
        <v>-40.244991706009955</v>
      </c>
      <c r="I20" s="535"/>
      <c r="J20" s="770">
        <f t="shared" si="3"/>
        <v>3154</v>
      </c>
    </row>
    <row r="21" spans="1:10" ht="15.5" x14ac:dyDescent="0.35">
      <c r="A21" s="526"/>
      <c r="B21" s="526"/>
      <c r="C21" s="526"/>
      <c r="D21" s="804"/>
      <c r="E21" s="528"/>
      <c r="F21" s="770"/>
      <c r="G21" s="528"/>
      <c r="H21" s="779"/>
      <c r="I21" s="537"/>
      <c r="J21" s="770"/>
    </row>
    <row r="22" spans="1:10" ht="15.5" x14ac:dyDescent="0.35">
      <c r="A22" s="526"/>
      <c r="B22" s="526"/>
      <c r="C22" s="526"/>
      <c r="D22" s="805"/>
      <c r="E22" s="536"/>
      <c r="F22" s="771"/>
      <c r="G22" s="536"/>
      <c r="H22" s="778"/>
      <c r="I22" s="535"/>
      <c r="J22" s="781"/>
    </row>
    <row r="23" spans="1:10" ht="15.5" x14ac:dyDescent="0.35">
      <c r="A23" s="526"/>
      <c r="B23" s="540" t="s">
        <v>636</v>
      </c>
      <c r="C23" s="529"/>
      <c r="D23" s="803">
        <f>+D14+D6</f>
        <v>49601</v>
      </c>
      <c r="E23" s="527"/>
      <c r="F23" s="769">
        <f>+F14+F6</f>
        <v>60904</v>
      </c>
      <c r="G23" s="527"/>
      <c r="H23" s="777">
        <f>(D23-F23)/F23*100</f>
        <v>-18.558715355313279</v>
      </c>
      <c r="I23" s="534"/>
      <c r="J23" s="769">
        <f>+D23-F23</f>
        <v>-11303</v>
      </c>
    </row>
    <row r="24" spans="1:10" ht="15.5" x14ac:dyDescent="0.35">
      <c r="A24" s="526"/>
      <c r="B24" s="526" t="s">
        <v>204</v>
      </c>
      <c r="C24" s="526"/>
      <c r="D24" s="804">
        <v>-30329</v>
      </c>
      <c r="E24" s="528"/>
      <c r="F24" s="770">
        <v>-26576</v>
      </c>
      <c r="G24" s="528"/>
      <c r="H24" s="778">
        <f>+(D24-F24)/F24*100</f>
        <v>14.121763997591813</v>
      </c>
      <c r="I24" s="535"/>
      <c r="J24" s="770">
        <f>+D24-F24</f>
        <v>-3753</v>
      </c>
    </row>
    <row r="25" spans="1:10" ht="15.5" x14ac:dyDescent="0.35">
      <c r="A25" s="526"/>
      <c r="B25" s="526" t="s">
        <v>637</v>
      </c>
      <c r="C25" s="526"/>
      <c r="D25" s="804">
        <v>-4335</v>
      </c>
      <c r="E25" s="528"/>
      <c r="F25" s="770">
        <v>-5615</v>
      </c>
      <c r="G25" s="740"/>
      <c r="H25" s="778" t="s">
        <v>634</v>
      </c>
      <c r="I25" s="535"/>
      <c r="J25" s="776" t="s">
        <v>634</v>
      </c>
    </row>
    <row r="26" spans="1:10" ht="15.5" x14ac:dyDescent="0.35">
      <c r="A26" s="526"/>
      <c r="B26" s="526"/>
      <c r="C26" s="526"/>
      <c r="D26" s="806"/>
      <c r="E26" s="538"/>
      <c r="F26" s="772"/>
      <c r="G26" s="538"/>
      <c r="H26" s="778"/>
      <c r="I26" s="535"/>
      <c r="J26" s="781"/>
    </row>
    <row r="27" spans="1:10" ht="15.5" x14ac:dyDescent="0.35">
      <c r="A27" s="526"/>
      <c r="B27" s="540" t="s">
        <v>205</v>
      </c>
      <c r="C27" s="529"/>
      <c r="D27" s="803">
        <f>SUM(D23:D25)</f>
        <v>14937</v>
      </c>
      <c r="E27" s="527"/>
      <c r="F27" s="769">
        <f>SUM(F23:F25)</f>
        <v>28713</v>
      </c>
      <c r="G27" s="527"/>
      <c r="H27" s="777">
        <f>(D27-F27)/F27*100</f>
        <v>-47.978267683627621</v>
      </c>
      <c r="I27" s="534"/>
      <c r="J27" s="769">
        <f t="shared" ref="J27:J32" si="4">+D27-F27</f>
        <v>-13776</v>
      </c>
    </row>
    <row r="28" spans="1:10" ht="15.5" x14ac:dyDescent="0.35">
      <c r="A28" s="526"/>
      <c r="B28" s="526" t="s">
        <v>638</v>
      </c>
      <c r="C28" s="526"/>
      <c r="D28" s="804">
        <v>-8461</v>
      </c>
      <c r="E28" s="528"/>
      <c r="F28" s="770">
        <v>-6502</v>
      </c>
      <c r="G28" s="528"/>
      <c r="H28" s="778">
        <f>+(D28-F28)/F28*100</f>
        <v>30.129191018148262</v>
      </c>
      <c r="I28" s="535"/>
      <c r="J28" s="770">
        <f t="shared" si="4"/>
        <v>-1959</v>
      </c>
    </row>
    <row r="29" spans="1:10" ht="15.5" x14ac:dyDescent="0.35">
      <c r="A29" s="526"/>
      <c r="B29" s="526" t="s">
        <v>544</v>
      </c>
      <c r="C29" s="526"/>
      <c r="D29" s="804">
        <v>509</v>
      </c>
      <c r="E29" s="528"/>
      <c r="F29" s="770">
        <v>414</v>
      </c>
      <c r="G29" s="528"/>
      <c r="H29" s="778">
        <f>+(D29-F29)/F29*100</f>
        <v>22.946859903381643</v>
      </c>
      <c r="I29" s="535"/>
      <c r="J29" s="770">
        <f>+D29-F29</f>
        <v>95</v>
      </c>
    </row>
    <row r="30" spans="1:10" ht="15.5" x14ac:dyDescent="0.35">
      <c r="A30" s="526"/>
      <c r="B30" s="526"/>
      <c r="C30" s="526"/>
      <c r="D30" s="806"/>
      <c r="E30" s="538"/>
      <c r="F30" s="772"/>
      <c r="G30" s="538"/>
      <c r="H30" s="778"/>
      <c r="I30" s="535"/>
      <c r="J30" s="770"/>
    </row>
    <row r="31" spans="1:10" ht="15.5" x14ac:dyDescent="0.35">
      <c r="A31" s="526"/>
      <c r="B31" s="540" t="s">
        <v>207</v>
      </c>
      <c r="C31" s="529"/>
      <c r="D31" s="803">
        <f>+D27+D28+D29</f>
        <v>6985</v>
      </c>
      <c r="E31" s="541">
        <f t="shared" ref="E31:I31" si="5">+E27+E28+E29</f>
        <v>0</v>
      </c>
      <c r="F31" s="769">
        <f>+F27+F28+F29</f>
        <v>22625</v>
      </c>
      <c r="G31" s="541">
        <f t="shared" si="5"/>
        <v>0</v>
      </c>
      <c r="H31" s="777">
        <f>(D31-F31)/F31*100</f>
        <v>-69.127071823204417</v>
      </c>
      <c r="I31" s="541">
        <f t="shared" si="5"/>
        <v>0</v>
      </c>
      <c r="J31" s="769">
        <f>+J27+J28+J29</f>
        <v>-15640</v>
      </c>
    </row>
    <row r="32" spans="1:10" ht="15.5" x14ac:dyDescent="0.35">
      <c r="A32" s="529"/>
      <c r="B32" s="526" t="s">
        <v>222</v>
      </c>
      <c r="C32" s="526"/>
      <c r="D32" s="804">
        <v>-728</v>
      </c>
      <c r="E32" s="528"/>
      <c r="F32" s="770">
        <v>8418</v>
      </c>
      <c r="G32" s="528"/>
      <c r="H32" s="778">
        <f>+(D32-F32)/F32*100</f>
        <v>-108.64813494891898</v>
      </c>
      <c r="I32" s="539"/>
      <c r="J32" s="770">
        <f t="shared" si="4"/>
        <v>-9146</v>
      </c>
    </row>
    <row r="33" spans="2:10" ht="15.5" x14ac:dyDescent="0.35">
      <c r="B33" s="526"/>
      <c r="C33" s="526"/>
      <c r="D33" s="805"/>
      <c r="E33" s="536"/>
      <c r="F33" s="771"/>
      <c r="G33" s="536"/>
      <c r="H33" s="796"/>
      <c r="I33" s="535"/>
      <c r="J33" s="770"/>
    </row>
    <row r="34" spans="2:10" ht="17.5" x14ac:dyDescent="0.35">
      <c r="B34" s="543" t="s">
        <v>208</v>
      </c>
      <c r="C34" s="544"/>
      <c r="D34" s="807">
        <f>+D31+D32</f>
        <v>6257</v>
      </c>
      <c r="E34" s="545">
        <f t="shared" ref="E34:I34" si="6">+E31+E32</f>
        <v>0</v>
      </c>
      <c r="F34" s="773">
        <f>+F31+F32</f>
        <v>31043</v>
      </c>
      <c r="G34" s="545">
        <f t="shared" si="6"/>
        <v>0</v>
      </c>
      <c r="H34" s="780">
        <f>+(D34-F34)/F34*100</f>
        <v>-79.84408723383693</v>
      </c>
      <c r="I34" s="545">
        <f t="shared" si="6"/>
        <v>0</v>
      </c>
      <c r="J34" s="773">
        <f>+J31+J32</f>
        <v>-24786</v>
      </c>
    </row>
    <row r="35" spans="2:10" x14ac:dyDescent="0.35">
      <c r="D35" s="808"/>
    </row>
    <row r="36" spans="2:10" ht="15.5" x14ac:dyDescent="0.35">
      <c r="B36" s="683" t="s">
        <v>559</v>
      </c>
      <c r="C36" s="684"/>
      <c r="D36" s="809">
        <v>6.0999999999999999E-2</v>
      </c>
      <c r="E36" s="684"/>
      <c r="F36" s="774">
        <v>0.29239999999999999</v>
      </c>
      <c r="G36" s="684"/>
      <c r="H36" s="780">
        <f>+(D36-F36)/F36*100</f>
        <v>-79.138166894664835</v>
      </c>
      <c r="I36" s="684"/>
      <c r="J36" s="782">
        <f t="shared" ref="J36" si="7">+D36-F36</f>
        <v>-0.23139999999999999</v>
      </c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H31:H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C112"/>
  <sheetViews>
    <sheetView topLeftCell="A28" zoomScale="80" zoomScaleNormal="80" workbookViewId="0">
      <selection activeCell="D54" sqref="D54"/>
    </sheetView>
  </sheetViews>
  <sheetFormatPr baseColWidth="10" defaultColWidth="11" defaultRowHeight="13" x14ac:dyDescent="0.3"/>
  <cols>
    <col min="1" max="1" width="2.75" style="165" bestFit="1" customWidth="1"/>
    <col min="2" max="2" width="29.5" style="153" bestFit="1" customWidth="1"/>
    <col min="3" max="4" width="8.25" style="151" bestFit="1" customWidth="1"/>
    <col min="5" max="5" width="9.08203125" style="152" customWidth="1"/>
    <col min="6" max="7" width="8.58203125" style="151" bestFit="1" customWidth="1"/>
    <col min="8" max="8" width="9.08203125" style="152" bestFit="1" customWidth="1"/>
    <col min="9" max="9" width="10.83203125" style="151" customWidth="1"/>
    <col min="10" max="10" width="11" style="151" customWidth="1"/>
    <col min="11" max="11" width="9.08203125" style="152" bestFit="1" customWidth="1"/>
    <col min="12" max="12" width="3.75" style="153" customWidth="1"/>
    <col min="13" max="13" width="10.08203125" style="153" customWidth="1"/>
    <col min="14" max="14" width="8.58203125" style="153" bestFit="1" customWidth="1"/>
    <col min="15" max="15" width="9.75" style="153" customWidth="1"/>
    <col min="16" max="16" width="8.58203125" style="153" bestFit="1" customWidth="1"/>
    <col min="17" max="22" width="11" style="153"/>
    <col min="23" max="23" width="3.5" style="153" customWidth="1"/>
    <col min="24" max="24" width="3.5" style="153" bestFit="1" customWidth="1"/>
    <col min="25" max="25" width="4.83203125" style="153" bestFit="1" customWidth="1"/>
    <col min="26" max="27" width="7.75" style="153" bestFit="1" customWidth="1"/>
    <col min="28" max="28" width="5.75" style="153" bestFit="1" customWidth="1"/>
    <col min="29" max="16384" width="11" style="153"/>
  </cols>
  <sheetData>
    <row r="1" spans="2:19" ht="18" x14ac:dyDescent="0.4">
      <c r="B1" s="149" t="s">
        <v>25</v>
      </c>
      <c r="C1" s="150">
        <v>43070</v>
      </c>
      <c r="D1" s="150">
        <v>43435</v>
      </c>
      <c r="E1" s="150" t="s">
        <v>533</v>
      </c>
    </row>
    <row r="2" spans="2:19" ht="13.5" thickBot="1" x14ac:dyDescent="0.35">
      <c r="L2" s="370"/>
      <c r="M2" s="370"/>
      <c r="N2" s="370"/>
      <c r="O2" s="370"/>
      <c r="P2" s="370"/>
      <c r="Q2" s="370"/>
      <c r="R2" s="370"/>
      <c r="S2" s="370"/>
    </row>
    <row r="3" spans="2:19" ht="13.5" customHeight="1" x14ac:dyDescent="0.3">
      <c r="B3" s="962" t="s">
        <v>27</v>
      </c>
      <c r="C3" s="963"/>
      <c r="D3" s="963"/>
      <c r="E3" s="963"/>
      <c r="F3" s="963"/>
      <c r="G3" s="963"/>
      <c r="H3" s="963"/>
      <c r="I3" s="963"/>
      <c r="J3" s="963"/>
      <c r="K3" s="964"/>
      <c r="L3" s="370"/>
      <c r="M3" s="370"/>
      <c r="N3" s="370"/>
      <c r="O3" s="370"/>
      <c r="P3" s="370"/>
      <c r="Q3" s="370"/>
      <c r="R3" s="370"/>
      <c r="S3" s="370"/>
    </row>
    <row r="4" spans="2:19" ht="13.5" customHeight="1" x14ac:dyDescent="0.3">
      <c r="B4" s="965"/>
      <c r="C4" s="966"/>
      <c r="D4" s="966"/>
      <c r="E4" s="966"/>
      <c r="F4" s="966"/>
      <c r="G4" s="966"/>
      <c r="H4" s="966"/>
      <c r="I4" s="966"/>
      <c r="J4" s="966"/>
      <c r="K4" s="967"/>
      <c r="L4" s="370"/>
      <c r="M4" s="370"/>
      <c r="N4" s="370"/>
      <c r="O4" s="370"/>
      <c r="P4" s="370"/>
      <c r="Q4" s="370"/>
      <c r="R4" s="370"/>
      <c r="S4" s="370"/>
    </row>
    <row r="5" spans="2:19" x14ac:dyDescent="0.3">
      <c r="B5" s="968" t="s">
        <v>28</v>
      </c>
      <c r="C5" s="970" t="s">
        <v>29</v>
      </c>
      <c r="D5" s="971"/>
      <c r="E5" s="972"/>
      <c r="F5" s="970" t="s">
        <v>30</v>
      </c>
      <c r="G5" s="971"/>
      <c r="H5" s="972"/>
      <c r="I5" s="970" t="s">
        <v>31</v>
      </c>
      <c r="J5" s="971"/>
      <c r="K5" s="973"/>
      <c r="L5" s="370"/>
      <c r="M5" s="370"/>
      <c r="N5" s="370"/>
      <c r="O5" s="370"/>
      <c r="P5" s="370"/>
      <c r="Q5" s="370"/>
      <c r="R5" s="370"/>
      <c r="S5" s="370"/>
    </row>
    <row r="6" spans="2:19" ht="30" customHeight="1" thickBot="1" x14ac:dyDescent="0.35">
      <c r="B6" s="969"/>
      <c r="C6" s="365">
        <v>43070</v>
      </c>
      <c r="D6" s="366">
        <v>43435</v>
      </c>
      <c r="E6" s="367" t="s">
        <v>533</v>
      </c>
      <c r="F6" s="365">
        <v>43070</v>
      </c>
      <c r="G6" s="366">
        <v>43435</v>
      </c>
      <c r="H6" s="367" t="s">
        <v>533</v>
      </c>
      <c r="I6" s="365">
        <v>43070</v>
      </c>
      <c r="J6" s="366">
        <v>43435</v>
      </c>
      <c r="K6" s="368" t="s">
        <v>533</v>
      </c>
      <c r="L6" s="370"/>
      <c r="M6" s="370"/>
      <c r="N6" s="370"/>
      <c r="O6" s="370"/>
      <c r="P6" s="370"/>
      <c r="Q6" s="370"/>
      <c r="R6" s="370"/>
      <c r="S6" s="370"/>
    </row>
    <row r="7" spans="2:19" ht="13.5" thickBot="1" x14ac:dyDescent="0.35">
      <c r="B7" s="166"/>
      <c r="C7" s="154"/>
      <c r="D7" s="154"/>
      <c r="E7" s="155"/>
      <c r="F7" s="154"/>
      <c r="G7" s="154"/>
      <c r="H7" s="155"/>
      <c r="I7" s="154"/>
      <c r="J7" s="154"/>
      <c r="K7" s="156"/>
      <c r="L7" s="370"/>
      <c r="M7" s="370"/>
      <c r="N7" s="370"/>
      <c r="O7" s="370"/>
      <c r="P7" s="370"/>
      <c r="Q7" s="370"/>
      <c r="R7" s="370"/>
      <c r="S7" s="370"/>
    </row>
    <row r="8" spans="2:19" x14ac:dyDescent="0.3">
      <c r="B8" s="157" t="s">
        <v>32</v>
      </c>
      <c r="C8" s="21">
        <v>1076132</v>
      </c>
      <c r="D8" s="22">
        <v>650794.25867485581</v>
      </c>
      <c r="E8" s="178">
        <v>-0.39524681110230359</v>
      </c>
      <c r="F8" s="21">
        <v>57.97</v>
      </c>
      <c r="G8" s="22">
        <v>65.13</v>
      </c>
      <c r="H8" s="178">
        <v>0.12351216146282554</v>
      </c>
      <c r="I8" s="21">
        <v>62383372.039999999</v>
      </c>
      <c r="J8" s="22">
        <v>42386230.067493357</v>
      </c>
      <c r="K8" s="178">
        <v>-0.32055243759001267</v>
      </c>
      <c r="L8" s="370"/>
      <c r="M8" s="371">
        <f>C8</f>
        <v>1076132</v>
      </c>
      <c r="N8" s="371">
        <f>F8</f>
        <v>57.97</v>
      </c>
      <c r="O8" s="372">
        <f>D8</f>
        <v>650794.25867485581</v>
      </c>
      <c r="P8" s="372">
        <f>G8</f>
        <v>65.13</v>
      </c>
      <c r="Q8" s="373"/>
      <c r="R8" s="372"/>
      <c r="S8" s="370"/>
    </row>
    <row r="9" spans="2:19" ht="13.5" thickBot="1" x14ac:dyDescent="0.35">
      <c r="B9" s="158" t="s">
        <v>33</v>
      </c>
      <c r="C9" s="26">
        <v>68530.540499999988</v>
      </c>
      <c r="D9" s="27">
        <v>103276.76949999999</v>
      </c>
      <c r="E9" s="180">
        <v>0.50701816659391463</v>
      </c>
      <c r="F9" s="26">
        <v>92.14</v>
      </c>
      <c r="G9" s="27">
        <v>90.061364359219013</v>
      </c>
      <c r="H9" s="180">
        <v>-2.2559535932070628E-2</v>
      </c>
      <c r="I9" s="26">
        <v>6314404.0016699992</v>
      </c>
      <c r="J9" s="27">
        <v>9301246.7677825764</v>
      </c>
      <c r="K9" s="180">
        <v>0.47302053611435591</v>
      </c>
      <c r="L9" s="370"/>
      <c r="M9" s="371">
        <f>C9</f>
        <v>68530.540499999988</v>
      </c>
      <c r="N9" s="371">
        <f>F9</f>
        <v>92.14</v>
      </c>
      <c r="O9" s="372">
        <f>D9</f>
        <v>103276.76949999999</v>
      </c>
      <c r="P9" s="372">
        <f>G9</f>
        <v>90.061364359219013</v>
      </c>
      <c r="Q9" s="372"/>
      <c r="R9" s="372"/>
      <c r="S9" s="370"/>
    </row>
    <row r="10" spans="2:19" ht="13.5" thickBot="1" x14ac:dyDescent="0.35">
      <c r="B10" s="189" t="s">
        <v>251</v>
      </c>
      <c r="C10" s="182">
        <f>M10</f>
        <v>1144662.5404999999</v>
      </c>
      <c r="D10" s="160">
        <f>O10</f>
        <v>754071.02817485575</v>
      </c>
      <c r="E10" s="181">
        <f>(D10-C10)/C10</f>
        <v>-0.34122852675385873</v>
      </c>
      <c r="F10" s="182">
        <f>N10</f>
        <v>60.01574578623157</v>
      </c>
      <c r="G10" s="160">
        <f>P10</f>
        <v>68.544573261725319</v>
      </c>
      <c r="H10" s="181">
        <f>(G10-F10)/F10</f>
        <v>0.14210983074129152</v>
      </c>
      <c r="I10" s="182">
        <f>I8+I9</f>
        <v>68697776.041669995</v>
      </c>
      <c r="J10" s="160">
        <f>J8+J9</f>
        <v>51687476.835275933</v>
      </c>
      <c r="K10" s="181">
        <f>(J10-I10)/I10</f>
        <v>-0.24761062419365845</v>
      </c>
      <c r="L10" s="370"/>
      <c r="M10" s="371">
        <f>M8+M9</f>
        <v>1144662.5404999999</v>
      </c>
      <c r="N10" s="374">
        <f>(M8*N8+M9*N9)/M10</f>
        <v>60.01574578623157</v>
      </c>
      <c r="O10" s="372">
        <f>O8+O9</f>
        <v>754071.02817485575</v>
      </c>
      <c r="P10" s="372">
        <f>(O8*P8+O9*P9)/O10</f>
        <v>68.544573261725319</v>
      </c>
      <c r="Q10" s="372"/>
      <c r="R10" s="372"/>
      <c r="S10" s="370"/>
    </row>
    <row r="11" spans="2:19" ht="13.5" thickBot="1" x14ac:dyDescent="0.35">
      <c r="B11" s="159" t="s">
        <v>34</v>
      </c>
      <c r="C11" s="26">
        <v>636667.63599999994</v>
      </c>
      <c r="D11" s="30">
        <v>647903</v>
      </c>
      <c r="E11" s="180">
        <v>1.7647141718383282E-2</v>
      </c>
      <c r="F11" s="26">
        <v>25.08</v>
      </c>
      <c r="G11" s="30">
        <v>26.92</v>
      </c>
      <c r="H11" s="180">
        <v>7.3365231259968244E-2</v>
      </c>
      <c r="I11" s="26">
        <v>15967624.310879998</v>
      </c>
      <c r="J11" s="30">
        <v>17441548.760000002</v>
      </c>
      <c r="K11" s="180">
        <v>9.2307059611598144E-2</v>
      </c>
      <c r="L11" s="370"/>
      <c r="M11" s="373"/>
      <c r="N11" s="373"/>
      <c r="O11" s="373"/>
      <c r="P11" s="373"/>
      <c r="Q11" s="370"/>
      <c r="R11" s="370"/>
      <c r="S11" s="370"/>
    </row>
    <row r="12" spans="2:19" ht="13.5" thickBot="1" x14ac:dyDescent="0.35">
      <c r="C12" s="31">
        <v>1781330.1764999998</v>
      </c>
      <c r="D12" s="32">
        <v>1401974.0281748557</v>
      </c>
      <c r="E12" s="185">
        <v>-0.21296228701997971</v>
      </c>
      <c r="F12" s="31">
        <v>47.529313470062355</v>
      </c>
      <c r="G12" s="32">
        <v>49.308349659851253</v>
      </c>
      <c r="H12" s="185">
        <v>-0.21296228701997971</v>
      </c>
      <c r="I12" s="31">
        <v>84665400.35255</v>
      </c>
      <c r="J12" s="32">
        <v>69129025.595275939</v>
      </c>
      <c r="K12" s="185">
        <v>-0.18350323381900985</v>
      </c>
      <c r="L12" s="370"/>
      <c r="M12" s="370"/>
      <c r="N12" s="370"/>
      <c r="O12" s="370"/>
      <c r="P12" s="370"/>
      <c r="Q12" s="370"/>
      <c r="R12" s="370"/>
      <c r="S12" s="370"/>
    </row>
    <row r="13" spans="2:19" x14ac:dyDescent="0.3">
      <c r="C13" s="371"/>
      <c r="D13" s="371"/>
      <c r="E13" s="375"/>
      <c r="F13" s="371"/>
      <c r="G13" s="371"/>
      <c r="H13" s="375"/>
      <c r="I13" s="371"/>
      <c r="J13" s="371"/>
      <c r="K13" s="375"/>
      <c r="L13" s="370"/>
      <c r="M13" s="370"/>
      <c r="N13" s="370"/>
      <c r="O13" s="370"/>
      <c r="P13" s="370"/>
      <c r="Q13" s="370"/>
      <c r="R13" s="370"/>
      <c r="S13" s="370"/>
    </row>
    <row r="14" spans="2:19" ht="30" customHeight="1" thickBot="1" x14ac:dyDescent="0.35">
      <c r="B14" s="161"/>
      <c r="C14" s="365">
        <v>43070</v>
      </c>
      <c r="D14" s="366">
        <v>43435</v>
      </c>
      <c r="E14" s="367" t="s">
        <v>533</v>
      </c>
      <c r="L14" s="370"/>
      <c r="M14" s="370"/>
      <c r="N14" s="370"/>
      <c r="O14" s="370"/>
      <c r="P14" s="370"/>
      <c r="Q14" s="370"/>
      <c r="R14" s="370"/>
      <c r="S14" s="370"/>
    </row>
    <row r="15" spans="2:19" x14ac:dyDescent="0.3">
      <c r="B15" s="162" t="s">
        <v>35</v>
      </c>
      <c r="C15" s="38">
        <v>1.1292916666666666</v>
      </c>
      <c r="D15" s="39">
        <v>1.1814916666666666</v>
      </c>
      <c r="E15" s="163">
        <v>4.6223665276906641E-2</v>
      </c>
    </row>
    <row r="16" spans="2:19" ht="13.5" thickBot="1" x14ac:dyDescent="0.35">
      <c r="J16" s="164"/>
    </row>
    <row r="17" spans="1:13" x14ac:dyDescent="0.3">
      <c r="B17" s="949" t="s">
        <v>36</v>
      </c>
      <c r="C17" s="950"/>
      <c r="D17" s="950"/>
      <c r="E17" s="950"/>
      <c r="F17" s="950"/>
      <c r="G17" s="950"/>
      <c r="H17" s="950"/>
      <c r="I17" s="950"/>
      <c r="J17" s="950"/>
      <c r="K17" s="951"/>
    </row>
    <row r="18" spans="1:13" x14ac:dyDescent="0.3">
      <c r="B18" s="952"/>
      <c r="C18" s="953"/>
      <c r="D18" s="953"/>
      <c r="E18" s="953"/>
      <c r="F18" s="953"/>
      <c r="G18" s="953"/>
      <c r="H18" s="953"/>
      <c r="I18" s="953"/>
      <c r="J18" s="953"/>
      <c r="K18" s="954"/>
    </row>
    <row r="19" spans="1:13" x14ac:dyDescent="0.3">
      <c r="B19" s="955" t="s">
        <v>37</v>
      </c>
      <c r="C19" s="957" t="s">
        <v>38</v>
      </c>
      <c r="D19" s="958"/>
      <c r="E19" s="959"/>
      <c r="F19" s="957" t="s">
        <v>39</v>
      </c>
      <c r="G19" s="958"/>
      <c r="H19" s="959"/>
      <c r="I19" s="974" t="s">
        <v>40</v>
      </c>
      <c r="J19" s="975"/>
      <c r="K19" s="976"/>
    </row>
    <row r="20" spans="1:13" ht="29.25" customHeight="1" x14ac:dyDescent="0.3">
      <c r="B20" s="961"/>
      <c r="C20" s="13">
        <v>43070</v>
      </c>
      <c r="D20" s="14">
        <v>43435</v>
      </c>
      <c r="E20" s="15" t="s">
        <v>533</v>
      </c>
      <c r="F20" s="13">
        <v>43070</v>
      </c>
      <c r="G20" s="14">
        <v>43435</v>
      </c>
      <c r="H20" s="15" t="s">
        <v>533</v>
      </c>
      <c r="I20" s="13">
        <v>43070</v>
      </c>
      <c r="J20" s="14">
        <v>43435</v>
      </c>
      <c r="K20" s="369" t="s">
        <v>533</v>
      </c>
    </row>
    <row r="21" spans="1:13" ht="13.5" thickBot="1" x14ac:dyDescent="0.35">
      <c r="B21" s="166"/>
      <c r="C21" s="154"/>
      <c r="D21" s="154"/>
      <c r="E21" s="155"/>
      <c r="F21" s="154"/>
      <c r="G21" s="154"/>
      <c r="H21" s="155"/>
      <c r="I21" s="154"/>
      <c r="J21" s="154"/>
      <c r="K21" s="156"/>
    </row>
    <row r="22" spans="1:13" s="152" customFormat="1" x14ac:dyDescent="0.3">
      <c r="A22" s="165"/>
      <c r="B22" s="355" t="s">
        <v>41</v>
      </c>
      <c r="C22" s="127">
        <v>60553.267</v>
      </c>
      <c r="D22" s="22">
        <v>43595.689000000006</v>
      </c>
      <c r="E22" s="178">
        <v>-0.28004398177227985</v>
      </c>
      <c r="F22" s="21">
        <v>953.62</v>
      </c>
      <c r="G22" s="22">
        <v>1016.968369081172</v>
      </c>
      <c r="H22" s="178">
        <v>6.6429362934053396E-2</v>
      </c>
      <c r="I22" s="26">
        <v>57744806.476539999</v>
      </c>
      <c r="J22" s="46">
        <v>44335436.741299994</v>
      </c>
      <c r="K22" s="186">
        <v>-0.23221776214087467</v>
      </c>
      <c r="L22" s="153"/>
    </row>
    <row r="23" spans="1:13" s="152" customFormat="1" x14ac:dyDescent="0.3">
      <c r="A23" s="165"/>
      <c r="B23" s="356" t="s">
        <v>42</v>
      </c>
      <c r="C23" s="76">
        <v>240610.67300000001</v>
      </c>
      <c r="D23" s="27">
        <v>224064.23900000003</v>
      </c>
      <c r="E23" s="180">
        <v>-6.8768495568772958E-2</v>
      </c>
      <c r="F23" s="26">
        <v>285.94889910269688</v>
      </c>
      <c r="G23" s="27">
        <v>322.6632671385816</v>
      </c>
      <c r="H23" s="180">
        <v>0.12839485709192736</v>
      </c>
      <c r="I23" s="26">
        <v>68802357.056708992</v>
      </c>
      <c r="J23" s="46">
        <v>72297299.404660001</v>
      </c>
      <c r="K23" s="187">
        <v>5.079684036217498E-2</v>
      </c>
      <c r="L23" s="153"/>
    </row>
    <row r="24" spans="1:13" s="152" customFormat="1" x14ac:dyDescent="0.3">
      <c r="A24" s="165"/>
      <c r="B24" s="356" t="s">
        <v>43</v>
      </c>
      <c r="C24" s="76">
        <v>32579.48</v>
      </c>
      <c r="D24" s="27">
        <v>30662.85</v>
      </c>
      <c r="E24" s="180">
        <v>-5.8829361303495364E-2</v>
      </c>
      <c r="F24" s="26">
        <v>240.63290182102352</v>
      </c>
      <c r="G24" s="27">
        <v>267.0374946171018</v>
      </c>
      <c r="H24" s="180">
        <v>0.10972976927202301</v>
      </c>
      <c r="I24" s="26">
        <v>7839694.8122199997</v>
      </c>
      <c r="J24" s="46">
        <v>8188130.6418199996</v>
      </c>
      <c r="K24" s="187">
        <v>4.4445075726274576E-2</v>
      </c>
      <c r="L24" s="153"/>
    </row>
    <row r="25" spans="1:13" s="152" customFormat="1" x14ac:dyDescent="0.3">
      <c r="A25" s="165"/>
      <c r="B25" s="356" t="s">
        <v>44</v>
      </c>
      <c r="C25" s="76">
        <v>56857.109999999993</v>
      </c>
      <c r="D25" s="27">
        <v>13008.96</v>
      </c>
      <c r="E25" s="180">
        <v>-0.77119906375825287</v>
      </c>
      <c r="F25" s="52">
        <v>275.63921694753748</v>
      </c>
      <c r="G25" s="27">
        <v>293.75454345312772</v>
      </c>
      <c r="H25" s="180">
        <v>6.5721150662817848E-2</v>
      </c>
      <c r="I25" s="26">
        <v>15672049.2783</v>
      </c>
      <c r="J25" s="46">
        <v>3821441.1056000004</v>
      </c>
      <c r="K25" s="187">
        <v>-0.75616200295571523</v>
      </c>
      <c r="L25" s="153"/>
    </row>
    <row r="26" spans="1:13" s="152" customFormat="1" x14ac:dyDescent="0.3">
      <c r="A26" s="165"/>
      <c r="B26" s="356" t="s">
        <v>45</v>
      </c>
      <c r="C26" s="76">
        <v>2525.75</v>
      </c>
      <c r="D26" s="27">
        <v>2758</v>
      </c>
      <c r="E26" s="180">
        <v>9.195288528159952E-2</v>
      </c>
      <c r="F26" s="26">
        <v>1387.67058497476</v>
      </c>
      <c r="G26" s="27">
        <v>1494.8170507614211</v>
      </c>
      <c r="H26" s="180">
        <v>7.7213185136881732E-2</v>
      </c>
      <c r="I26" s="26">
        <v>3504908.98</v>
      </c>
      <c r="J26" s="46">
        <v>4122705.4259999995</v>
      </c>
      <c r="K26" s="187">
        <v>0.1762660455735999</v>
      </c>
      <c r="L26" s="153"/>
    </row>
    <row r="27" spans="1:13" s="152" customFormat="1" x14ac:dyDescent="0.3">
      <c r="A27" s="165"/>
      <c r="B27" s="356" t="s">
        <v>46</v>
      </c>
      <c r="C27" s="76">
        <v>4147.1400000000003</v>
      </c>
      <c r="D27" s="27">
        <v>4303.2099999999991</v>
      </c>
      <c r="E27" s="180">
        <v>3.7633164060050732E-2</v>
      </c>
      <c r="F27" s="26">
        <v>1019.1677568685889</v>
      </c>
      <c r="G27" s="27">
        <v>969.85927123240594</v>
      </c>
      <c r="H27" s="180">
        <v>-4.8381127938823459E-2</v>
      </c>
      <c r="I27" s="26">
        <v>4226631.3712200001</v>
      </c>
      <c r="J27" s="46">
        <v>4173508.1145600006</v>
      </c>
      <c r="K27" s="187">
        <v>-1.256869880390484E-2</v>
      </c>
      <c r="L27" s="153"/>
    </row>
    <row r="28" spans="1:13" s="152" customFormat="1" x14ac:dyDescent="0.3">
      <c r="A28" s="165"/>
      <c r="B28" s="356" t="s">
        <v>47</v>
      </c>
      <c r="C28" s="53">
        <v>12855.861000000001</v>
      </c>
      <c r="D28" s="53">
        <v>12848.003000000001</v>
      </c>
      <c r="E28" s="180">
        <v>-6.1123871827800365E-4</v>
      </c>
      <c r="F28" s="26">
        <v>695.2950258936371</v>
      </c>
      <c r="G28" s="27">
        <v>834.19018818333097</v>
      </c>
      <c r="H28" s="180">
        <v>0.19976435486673738</v>
      </c>
      <c r="I28" s="26">
        <v>8938616.2068799995</v>
      </c>
      <c r="J28" s="46">
        <v>10717678.040350001</v>
      </c>
      <c r="K28" s="187">
        <v>0.19903101244023302</v>
      </c>
      <c r="L28" s="153"/>
    </row>
    <row r="29" spans="1:13" s="152" customFormat="1" x14ac:dyDescent="0.3">
      <c r="A29" s="165"/>
      <c r="B29" s="360" t="s">
        <v>6</v>
      </c>
      <c r="C29" s="53">
        <v>67873.813999999998</v>
      </c>
      <c r="D29" s="53">
        <v>108885.46999999999</v>
      </c>
      <c r="E29" s="180">
        <v>0.60423385077490988</v>
      </c>
      <c r="F29" s="26">
        <v>300.06</v>
      </c>
      <c r="G29" s="27">
        <v>306.72226930976188</v>
      </c>
      <c r="H29" s="180">
        <v>2.2203123741124715E-2</v>
      </c>
      <c r="I29" s="26">
        <v>20366216.628839999</v>
      </c>
      <c r="J29" s="46">
        <v>33397598.453259993</v>
      </c>
      <c r="K29" s="187">
        <v>0.63985285347336618</v>
      </c>
      <c r="L29" s="153"/>
    </row>
    <row r="30" spans="1:13" s="152" customFormat="1" x14ac:dyDescent="0.3">
      <c r="A30" s="165"/>
      <c r="B30" s="122" t="s">
        <v>530</v>
      </c>
      <c r="C30" s="53">
        <v>35654.47</v>
      </c>
      <c r="D30" s="53">
        <v>244165.04694000003</v>
      </c>
      <c r="E30" s="180">
        <v>5.8480907706663432</v>
      </c>
      <c r="F30" s="26">
        <v>36.408824927140969</v>
      </c>
      <c r="G30" s="27">
        <v>34.036332349577364</v>
      </c>
      <c r="H30" s="180">
        <v>-6.5162569303219398E-2</v>
      </c>
      <c r="I30" s="26">
        <v>1298137.3561</v>
      </c>
      <c r="J30" s="46">
        <v>8310482.6857999982</v>
      </c>
      <c r="K30" s="187">
        <v>5.4018515812280601</v>
      </c>
      <c r="L30" s="153"/>
    </row>
    <row r="31" spans="1:13" s="152" customFormat="1" ht="13.5" thickBot="1" x14ac:dyDescent="0.35">
      <c r="A31" s="165"/>
      <c r="B31" s="358" t="s">
        <v>531</v>
      </c>
      <c r="C31" s="359">
        <v>46474.9205</v>
      </c>
      <c r="D31" s="30">
        <v>66751.343500000003</v>
      </c>
      <c r="E31" s="180">
        <v>0.43628741656481163</v>
      </c>
      <c r="F31" s="26">
        <v>516.12716707412119</v>
      </c>
      <c r="G31" s="27">
        <v>524.72029900042389</v>
      </c>
      <c r="H31" s="180">
        <v>1.6649253274181246E-2</v>
      </c>
      <c r="I31" s="55">
        <v>23986969.057660002</v>
      </c>
      <c r="J31" s="56">
        <v>35025784.920000002</v>
      </c>
      <c r="K31" s="188">
        <v>0.46020052953771839</v>
      </c>
      <c r="M31" s="152">
        <f>D31-D41</f>
        <v>16987.861000000004</v>
      </c>
    </row>
    <row r="32" spans="1:13" s="152" customFormat="1" ht="13.5" thickBot="1" x14ac:dyDescent="0.35">
      <c r="A32" s="378"/>
      <c r="B32" s="377"/>
      <c r="C32" s="31">
        <v>560132.48549999995</v>
      </c>
      <c r="D32" s="31">
        <v>751042.81144000008</v>
      </c>
      <c r="E32" s="185">
        <v>0.3408306621773326</v>
      </c>
      <c r="F32" s="31">
        <v>379.16098909151555</v>
      </c>
      <c r="G32" s="32">
        <v>298.77133781910413</v>
      </c>
      <c r="H32" s="181">
        <f>(G32-F32)/F32</f>
        <v>-0.21201983744432185</v>
      </c>
      <c r="I32" s="31">
        <v>212380387.22446898</v>
      </c>
      <c r="J32" s="31">
        <v>224390065.53334999</v>
      </c>
      <c r="K32" s="185">
        <v>5.6547963142132097E-2</v>
      </c>
      <c r="L32" s="153"/>
    </row>
    <row r="33" spans="1:29" s="152" customFormat="1" ht="13.5" thickBot="1" x14ac:dyDescent="0.35">
      <c r="A33" s="165"/>
      <c r="B33" s="153"/>
      <c r="C33" s="151"/>
      <c r="D33" s="151"/>
      <c r="F33" s="151"/>
      <c r="G33" s="151"/>
      <c r="I33" s="151"/>
      <c r="J33" s="151"/>
      <c r="L33" s="153"/>
    </row>
    <row r="34" spans="1:29" s="152" customFormat="1" x14ac:dyDescent="0.3">
      <c r="A34" s="165"/>
      <c r="B34" s="949" t="s">
        <v>48</v>
      </c>
      <c r="C34" s="950"/>
      <c r="D34" s="950"/>
      <c r="E34" s="950"/>
      <c r="F34" s="950"/>
      <c r="G34" s="950"/>
      <c r="H34" s="950"/>
      <c r="I34" s="950"/>
      <c r="J34" s="950"/>
      <c r="K34" s="951"/>
      <c r="L34" s="370"/>
      <c r="M34" s="375"/>
      <c r="N34" s="375"/>
      <c r="O34" s="375"/>
      <c r="P34" s="375"/>
      <c r="Q34" s="375"/>
      <c r="R34" s="375"/>
      <c r="S34" s="375"/>
    </row>
    <row r="35" spans="1:29" s="152" customFormat="1" x14ac:dyDescent="0.3">
      <c r="A35" s="165"/>
      <c r="B35" s="952"/>
      <c r="C35" s="953"/>
      <c r="D35" s="953"/>
      <c r="E35" s="953"/>
      <c r="F35" s="953"/>
      <c r="G35" s="953"/>
      <c r="H35" s="953"/>
      <c r="I35" s="953"/>
      <c r="J35" s="953"/>
      <c r="K35" s="954"/>
      <c r="L35" s="370"/>
      <c r="M35" s="375"/>
      <c r="N35" s="375"/>
      <c r="O35" s="375"/>
      <c r="P35" s="375"/>
      <c r="Q35" s="375"/>
      <c r="R35" s="375"/>
      <c r="S35" s="375"/>
    </row>
    <row r="36" spans="1:29" s="152" customFormat="1" x14ac:dyDescent="0.3">
      <c r="A36" s="165"/>
      <c r="B36" s="955" t="s">
        <v>37</v>
      </c>
      <c r="C36" s="957" t="s">
        <v>49</v>
      </c>
      <c r="D36" s="958"/>
      <c r="E36" s="959"/>
      <c r="F36" s="957" t="s">
        <v>39</v>
      </c>
      <c r="G36" s="958"/>
      <c r="H36" s="959"/>
      <c r="I36" s="957" t="s">
        <v>50</v>
      </c>
      <c r="J36" s="958"/>
      <c r="K36" s="960"/>
      <c r="L36" s="370"/>
      <c r="M36" s="375"/>
      <c r="N36" s="375"/>
      <c r="O36" s="375"/>
      <c r="P36" s="375"/>
      <c r="Q36" s="375"/>
      <c r="R36" s="375"/>
      <c r="S36" s="375"/>
    </row>
    <row r="37" spans="1:29" s="152" customFormat="1" ht="27" customHeight="1" x14ac:dyDescent="0.3">
      <c r="A37" s="165"/>
      <c r="B37" s="961"/>
      <c r="C37" s="13">
        <v>43070</v>
      </c>
      <c r="D37" s="14">
        <v>43435</v>
      </c>
      <c r="E37" s="15" t="s">
        <v>533</v>
      </c>
      <c r="F37" s="13">
        <v>43070</v>
      </c>
      <c r="G37" s="14">
        <v>43435</v>
      </c>
      <c r="H37" s="15" t="s">
        <v>533</v>
      </c>
      <c r="I37" s="13">
        <v>43070</v>
      </c>
      <c r="J37" s="14">
        <v>43435</v>
      </c>
      <c r="K37" s="369" t="s">
        <v>533</v>
      </c>
      <c r="L37" s="370"/>
      <c r="M37" s="375"/>
      <c r="N37" s="375"/>
      <c r="O37" s="375"/>
      <c r="P37" s="375"/>
      <c r="Q37" s="375"/>
      <c r="R37" s="375"/>
      <c r="S37" s="375"/>
    </row>
    <row r="38" spans="1:29" s="152" customFormat="1" ht="13.5" thickBot="1" x14ac:dyDescent="0.35">
      <c r="A38" s="165"/>
      <c r="B38" s="166"/>
      <c r="C38" s="154"/>
      <c r="D38" s="154"/>
      <c r="E38" s="155"/>
      <c r="F38" s="154"/>
      <c r="G38" s="154"/>
      <c r="H38" s="155"/>
      <c r="I38" s="154"/>
      <c r="J38" s="154"/>
      <c r="K38" s="156"/>
      <c r="L38" s="370"/>
      <c r="M38" s="381"/>
      <c r="N38" s="381"/>
      <c r="O38" s="381"/>
      <c r="P38" s="381"/>
      <c r="Q38" s="381"/>
      <c r="R38" s="375"/>
      <c r="S38" s="375"/>
    </row>
    <row r="39" spans="1:29" s="152" customFormat="1" ht="13.5" thickBot="1" x14ac:dyDescent="0.35">
      <c r="A39" s="165"/>
      <c r="B39" s="943" t="s">
        <v>51</v>
      </c>
      <c r="C39" s="944"/>
      <c r="D39" s="944"/>
      <c r="E39" s="944"/>
      <c r="F39" s="944"/>
      <c r="G39" s="944"/>
      <c r="H39" s="944"/>
      <c r="I39" s="944"/>
      <c r="J39" s="944"/>
      <c r="K39" s="945"/>
      <c r="L39" s="370"/>
      <c r="M39" s="381"/>
      <c r="N39" s="381"/>
      <c r="O39" s="381"/>
      <c r="P39" s="381"/>
      <c r="Q39" s="381"/>
      <c r="R39" s="375"/>
      <c r="S39" s="375"/>
    </row>
    <row r="40" spans="1:29" s="152" customFormat="1" x14ac:dyDescent="0.3">
      <c r="A40" s="165"/>
      <c r="B40" s="61" t="s">
        <v>532</v>
      </c>
      <c r="C40" s="388">
        <v>113499.60249999999</v>
      </c>
      <c r="D40" s="385">
        <v>92375.83749999998</v>
      </c>
      <c r="E40" s="178">
        <v>-0.18611311876620903</v>
      </c>
      <c r="F40" s="362">
        <v>475.70669876627983</v>
      </c>
      <c r="G40" s="391">
        <v>669.77371769452168</v>
      </c>
      <c r="H40" s="178">
        <v>0.40795519472722247</v>
      </c>
      <c r="I40" s="362">
        <v>53992521.216559999</v>
      </c>
      <c r="J40" s="391">
        <v>61870908.107519999</v>
      </c>
      <c r="K40" s="178">
        <v>0.14591626235345401</v>
      </c>
      <c r="L40" s="371"/>
      <c r="M40" s="372">
        <f>D40</f>
        <v>92375.83749999998</v>
      </c>
      <c r="N40" s="372">
        <f>G40</f>
        <v>669.77371769452168</v>
      </c>
      <c r="O40" s="372">
        <f>C40</f>
        <v>113499.60249999999</v>
      </c>
      <c r="P40" s="372">
        <f>F40</f>
        <v>475.70669876627983</v>
      </c>
      <c r="Q40" s="381"/>
      <c r="R40" s="372">
        <f t="shared" ref="R40:U41" si="0">M40</f>
        <v>92375.83749999998</v>
      </c>
      <c r="S40" s="372">
        <f t="shared" si="0"/>
        <v>669.77371769452168</v>
      </c>
      <c r="T40" s="372">
        <f t="shared" si="0"/>
        <v>113499.60249999999</v>
      </c>
      <c r="U40" s="372">
        <f t="shared" si="0"/>
        <v>475.70669876627983</v>
      </c>
    </row>
    <row r="41" spans="1:29" s="152" customFormat="1" ht="13.5" thickBot="1" x14ac:dyDescent="0.35">
      <c r="A41" s="165"/>
      <c r="B41" s="67" t="s">
        <v>531</v>
      </c>
      <c r="C41" s="496">
        <v>30628.607499999998</v>
      </c>
      <c r="D41" s="497">
        <v>49763.482499999998</v>
      </c>
      <c r="E41" s="498">
        <v>0.6247386532345619</v>
      </c>
      <c r="F41" s="55">
        <v>492.54798095016241</v>
      </c>
      <c r="G41" s="359">
        <v>567.72718614457904</v>
      </c>
      <c r="H41" s="498">
        <v>0.15263326234611749</v>
      </c>
      <c r="I41" s="55">
        <v>15086058.783440001</v>
      </c>
      <c r="J41" s="359">
        <v>28252081.892480001</v>
      </c>
      <c r="K41" s="498">
        <v>0.87272781433759039</v>
      </c>
      <c r="L41" s="371"/>
      <c r="M41" s="372">
        <f>D41</f>
        <v>49763.482499999998</v>
      </c>
      <c r="N41" s="372">
        <f>G41</f>
        <v>567.72718614457904</v>
      </c>
      <c r="O41" s="372">
        <f>C41</f>
        <v>30628.607499999998</v>
      </c>
      <c r="P41" s="372">
        <f>F41</f>
        <v>492.54798095016241</v>
      </c>
      <c r="Q41" s="381"/>
      <c r="R41" s="372">
        <f t="shared" si="0"/>
        <v>49763.482499999998</v>
      </c>
      <c r="S41" s="372">
        <f t="shared" si="0"/>
        <v>567.72718614457904</v>
      </c>
      <c r="T41" s="372">
        <f t="shared" si="0"/>
        <v>30628.607499999998</v>
      </c>
      <c r="U41" s="372">
        <f t="shared" si="0"/>
        <v>492.54798095016241</v>
      </c>
    </row>
    <row r="42" spans="1:29" s="152" customFormat="1" x14ac:dyDescent="0.3">
      <c r="A42" s="165"/>
      <c r="B42" s="64" t="s">
        <v>540</v>
      </c>
      <c r="C42" s="364">
        <f>C40+C41</f>
        <v>144128.21</v>
      </c>
      <c r="D42" s="364">
        <f>D40+D41</f>
        <v>142139.31999999998</v>
      </c>
      <c r="E42" s="180">
        <f>(D42-C42)/C42</f>
        <v>-1.3799449809305298E-2</v>
      </c>
      <c r="F42" s="52">
        <f>U42</f>
        <v>479.28563048136101</v>
      </c>
      <c r="G42" s="53">
        <f>S42</f>
        <v>596.87530382541206</v>
      </c>
      <c r="H42" s="180">
        <f>(G42-F42)/F42</f>
        <v>0.24534362364661799</v>
      </c>
      <c r="I42" s="364">
        <f>I40+I41</f>
        <v>69078580</v>
      </c>
      <c r="J42" s="364">
        <f>J40+J41</f>
        <v>90122990</v>
      </c>
      <c r="K42" s="180">
        <f>(J42-I42)/I42</f>
        <v>0.30464450774755358</v>
      </c>
      <c r="L42" s="370"/>
      <c r="M42" s="372">
        <f>D43</f>
        <v>8852.0000000000018</v>
      </c>
      <c r="N42" s="372">
        <f>G43</f>
        <v>842.51129688206038</v>
      </c>
      <c r="O42" s="372">
        <f>C43</f>
        <v>34842.600000000006</v>
      </c>
      <c r="P42" s="372">
        <f>F43</f>
        <v>633.19700596396365</v>
      </c>
      <c r="Q42" s="381"/>
      <c r="R42" s="372">
        <f>M43</f>
        <v>150991.31999999998</v>
      </c>
      <c r="S42" s="372">
        <f>(R40*S40+R41*S41)/R42</f>
        <v>596.87530382541206</v>
      </c>
      <c r="T42" s="372">
        <f>T40+T41</f>
        <v>144128.21</v>
      </c>
      <c r="U42" s="372">
        <f>(T40*U40+T41*U41)/T42</f>
        <v>479.28563048136101</v>
      </c>
      <c r="V42" s="153"/>
      <c r="W42" s="153"/>
      <c r="X42" s="153"/>
      <c r="Y42" s="153"/>
      <c r="Z42" s="153"/>
      <c r="AA42" s="153"/>
      <c r="AB42" s="153"/>
      <c r="AC42" s="153"/>
    </row>
    <row r="43" spans="1:29" x14ac:dyDescent="0.3">
      <c r="B43" s="177" t="s">
        <v>53</v>
      </c>
      <c r="C43" s="389">
        <v>34842.600000000006</v>
      </c>
      <c r="D43" s="387">
        <v>8852.0000000000018</v>
      </c>
      <c r="E43" s="179">
        <v>-0.74594318449254648</v>
      </c>
      <c r="F43" s="363">
        <v>633.19700596396365</v>
      </c>
      <c r="G43" s="392">
        <v>842.51129688206038</v>
      </c>
      <c r="H43" s="179">
        <v>0.33056740468859575</v>
      </c>
      <c r="I43" s="363">
        <v>22062230.000000004</v>
      </c>
      <c r="J43" s="392">
        <v>7457910</v>
      </c>
      <c r="K43" s="179">
        <v>-0.66196028234679816</v>
      </c>
      <c r="L43" s="370"/>
      <c r="M43" s="372">
        <f>M40+M42+M41</f>
        <v>150991.31999999998</v>
      </c>
      <c r="N43" s="372">
        <f>(M40*N40+M42*N42+M41*N41)/M43</f>
        <v>646.26827555385307</v>
      </c>
      <c r="O43" s="372">
        <f>O40+O42+O41</f>
        <v>178970.81</v>
      </c>
      <c r="P43" s="372">
        <f>(O40*P40+O42*P42+O41*P41)/O43</f>
        <v>509.24958097915521</v>
      </c>
      <c r="Q43" s="373"/>
      <c r="R43" s="372"/>
      <c r="T43" s="372"/>
      <c r="U43" s="372"/>
    </row>
    <row r="44" spans="1:29" x14ac:dyDescent="0.3">
      <c r="B44" s="167" t="s">
        <v>539</v>
      </c>
      <c r="C44" s="364">
        <f>C40+C41+C43</f>
        <v>178970.81</v>
      </c>
      <c r="D44" s="386">
        <f>D40+D41+D43</f>
        <v>150991.31999999998</v>
      </c>
      <c r="E44" s="180">
        <f>(D44-C44)/C44</f>
        <v>-0.15633549403950298</v>
      </c>
      <c r="F44" s="52">
        <f>P43</f>
        <v>509.24958097915521</v>
      </c>
      <c r="G44" s="53">
        <f>N43</f>
        <v>646.26827555385307</v>
      </c>
      <c r="H44" s="180">
        <f>(G44-F44)/F44</f>
        <v>0.26906000454874474</v>
      </c>
      <c r="I44" s="364">
        <f>I40+I41+I43</f>
        <v>91140810</v>
      </c>
      <c r="J44" s="386">
        <f>J40+J41+J43</f>
        <v>97580900</v>
      </c>
      <c r="K44" s="180">
        <f>(J44-I44)/I44</f>
        <v>7.0660881771842932E-2</v>
      </c>
      <c r="L44" s="370"/>
      <c r="M44" s="382"/>
      <c r="N44" s="382"/>
      <c r="O44" s="373"/>
      <c r="P44" s="373"/>
      <c r="Q44" s="373"/>
      <c r="R44" s="370"/>
      <c r="S44" s="370"/>
    </row>
    <row r="45" spans="1:29" x14ac:dyDescent="0.3">
      <c r="B45" s="167" t="s">
        <v>54</v>
      </c>
      <c r="C45" s="364">
        <v>85813</v>
      </c>
      <c r="D45" s="386">
        <v>56153.4</v>
      </c>
      <c r="E45" s="180">
        <v>-0.34563061540792184</v>
      </c>
      <c r="F45" s="52">
        <v>263.40717606889399</v>
      </c>
      <c r="G45" s="53">
        <v>284.9157842623955</v>
      </c>
      <c r="H45" s="180">
        <v>8.1655361537591342E-2</v>
      </c>
      <c r="I45" s="52">
        <v>22603760</v>
      </c>
      <c r="J45" s="53">
        <v>15998990</v>
      </c>
      <c r="K45" s="180">
        <v>-0.2921978467299246</v>
      </c>
      <c r="L45" s="370"/>
      <c r="M45" s="373"/>
      <c r="N45" s="373"/>
      <c r="O45" s="373"/>
      <c r="P45" s="373"/>
      <c r="Q45" s="373"/>
      <c r="R45" s="370"/>
      <c r="S45" s="370"/>
    </row>
    <row r="46" spans="1:29" x14ac:dyDescent="0.3">
      <c r="B46" s="167" t="s">
        <v>55</v>
      </c>
      <c r="C46" s="364">
        <v>28163.64</v>
      </c>
      <c r="D46" s="386">
        <v>24158.239999999998</v>
      </c>
      <c r="E46" s="180">
        <v>-0.14221883250886611</v>
      </c>
      <c r="F46" s="52">
        <v>405.4614389333197</v>
      </c>
      <c r="G46" s="53">
        <v>394.7278444125069</v>
      </c>
      <c r="H46" s="180">
        <v>-2.647254088835313E-2</v>
      </c>
      <c r="I46" s="52">
        <v>11419270</v>
      </c>
      <c r="J46" s="53">
        <v>9535930</v>
      </c>
      <c r="K46" s="180">
        <v>-0.16492647953853443</v>
      </c>
      <c r="L46" s="370"/>
      <c r="M46" s="373"/>
      <c r="N46" s="373"/>
      <c r="O46" s="373"/>
      <c r="P46" s="373"/>
      <c r="Q46" s="373"/>
      <c r="R46" s="370"/>
      <c r="S46" s="370"/>
    </row>
    <row r="47" spans="1:29" x14ac:dyDescent="0.3">
      <c r="B47" s="167" t="s">
        <v>56</v>
      </c>
      <c r="C47" s="364">
        <v>4923.92</v>
      </c>
      <c r="D47" s="386">
        <v>5521.7899999999991</v>
      </c>
      <c r="E47" s="180">
        <v>0.12142155030950928</v>
      </c>
      <c r="F47" s="52">
        <v>2549.9297307836027</v>
      </c>
      <c r="G47" s="53">
        <v>2445.7648697252162</v>
      </c>
      <c r="H47" s="180">
        <v>-4.0850090808728416E-2</v>
      </c>
      <c r="I47" s="52">
        <v>12555649.999999998</v>
      </c>
      <c r="J47" s="53">
        <v>13504999.999999998</v>
      </c>
      <c r="K47" s="180">
        <v>7.5611378144500696E-2</v>
      </c>
      <c r="L47" s="370"/>
      <c r="M47" s="373"/>
      <c r="N47" s="373"/>
      <c r="O47" s="373"/>
      <c r="P47" s="373"/>
      <c r="Q47" s="373"/>
      <c r="R47" s="370"/>
      <c r="S47" s="370"/>
    </row>
    <row r="48" spans="1:29" x14ac:dyDescent="0.3">
      <c r="B48" s="167" t="s">
        <v>57</v>
      </c>
      <c r="C48" s="364">
        <v>126717.89</v>
      </c>
      <c r="D48" s="386">
        <v>135064.71</v>
      </c>
      <c r="E48" s="180">
        <v>6.5869310166070408E-2</v>
      </c>
      <c r="F48" s="52">
        <v>79.25131960451678</v>
      </c>
      <c r="G48" s="53">
        <v>162.77671643466306</v>
      </c>
      <c r="H48" s="180">
        <v>1.0539306758166069</v>
      </c>
      <c r="I48" s="52">
        <v>10042560</v>
      </c>
      <c r="J48" s="53">
        <v>21985390</v>
      </c>
      <c r="K48" s="180">
        <v>1.1892216725615778</v>
      </c>
      <c r="L48" s="370"/>
      <c r="M48" s="380"/>
      <c r="N48" s="380"/>
      <c r="O48" s="373"/>
      <c r="P48" s="373"/>
      <c r="Q48" s="373"/>
      <c r="R48" s="370"/>
      <c r="S48" s="370"/>
    </row>
    <row r="49" spans="2:19" x14ac:dyDescent="0.3">
      <c r="B49" s="167" t="s">
        <v>58</v>
      </c>
      <c r="C49" s="364">
        <v>19826.27</v>
      </c>
      <c r="D49" s="386">
        <v>26845.369999999995</v>
      </c>
      <c r="E49" s="180">
        <v>0.35403028406250869</v>
      </c>
      <c r="F49" s="52">
        <v>98.389157415893152</v>
      </c>
      <c r="G49" s="53">
        <v>137.30486858627765</v>
      </c>
      <c r="H49" s="180">
        <v>0.39552845244813839</v>
      </c>
      <c r="I49" s="52">
        <v>1950690</v>
      </c>
      <c r="J49" s="53">
        <v>3686000</v>
      </c>
      <c r="K49" s="180">
        <v>0.88958778688566609</v>
      </c>
      <c r="L49" s="370"/>
      <c r="M49" s="372">
        <f>D50</f>
        <v>11399.91</v>
      </c>
      <c r="N49" s="372">
        <f>G50</f>
        <v>747.6567797465068</v>
      </c>
      <c r="O49" s="372">
        <f>C50</f>
        <v>25928.510000000002</v>
      </c>
      <c r="P49" s="372">
        <f>F50</f>
        <v>621.58373157578274</v>
      </c>
      <c r="Q49" s="373"/>
      <c r="R49" s="370"/>
      <c r="S49" s="370"/>
    </row>
    <row r="50" spans="2:19" x14ac:dyDescent="0.3">
      <c r="B50" s="167" t="s">
        <v>59</v>
      </c>
      <c r="C50" s="364">
        <v>25928.510000000002</v>
      </c>
      <c r="D50" s="386">
        <v>11399.91</v>
      </c>
      <c r="E50" s="180">
        <v>-0.56033300795147889</v>
      </c>
      <c r="F50" s="52">
        <v>621.58373157578274</v>
      </c>
      <c r="G50" s="53">
        <v>747.6567797465068</v>
      </c>
      <c r="H50" s="180">
        <v>0.20282552738488682</v>
      </c>
      <c r="I50" s="52">
        <v>16116740</v>
      </c>
      <c r="J50" s="53">
        <v>8523220</v>
      </c>
      <c r="K50" s="180">
        <v>-0.47115731841551084</v>
      </c>
      <c r="L50" s="370"/>
      <c r="M50" s="372">
        <f>D51</f>
        <v>6871.66</v>
      </c>
      <c r="N50" s="372">
        <f>G51</f>
        <v>851.19461673016417</v>
      </c>
      <c r="O50" s="372">
        <f>C51</f>
        <v>11030.48</v>
      </c>
      <c r="P50" s="372">
        <f>F51</f>
        <v>801.96328718242546</v>
      </c>
      <c r="Q50" s="373"/>
      <c r="R50" s="370"/>
      <c r="S50" s="370"/>
    </row>
    <row r="51" spans="2:19" x14ac:dyDescent="0.3">
      <c r="B51" s="177" t="s">
        <v>60</v>
      </c>
      <c r="C51" s="389">
        <v>11030.48</v>
      </c>
      <c r="D51" s="387">
        <v>6871.66</v>
      </c>
      <c r="E51" s="179">
        <v>-0.37702983007085822</v>
      </c>
      <c r="F51" s="363">
        <v>801.96328718242546</v>
      </c>
      <c r="G51" s="392">
        <v>851.19461673016417</v>
      </c>
      <c r="H51" s="179">
        <v>6.1388507846419513E-2</v>
      </c>
      <c r="I51" s="363">
        <v>8846040</v>
      </c>
      <c r="J51" s="392">
        <v>5849120</v>
      </c>
      <c r="K51" s="179">
        <v>-0.33878662090607775</v>
      </c>
      <c r="L51" s="370"/>
      <c r="M51" s="372">
        <f>D52</f>
        <v>18271.57</v>
      </c>
      <c r="N51" s="372">
        <f>(M49*N49+M50*N50)/M51</f>
        <v>786.59578788248632</v>
      </c>
      <c r="O51" s="372">
        <f>O49+O50</f>
        <v>36958.990000000005</v>
      </c>
      <c r="P51" s="372">
        <f>(O49*P49+O50*P50)/O51</f>
        <v>675.41834882392607</v>
      </c>
      <c r="Q51" s="373"/>
      <c r="R51" s="370"/>
      <c r="S51" s="370"/>
    </row>
    <row r="52" spans="2:19" x14ac:dyDescent="0.3">
      <c r="B52" s="167" t="s">
        <v>243</v>
      </c>
      <c r="C52" s="364">
        <f>C50+C51</f>
        <v>36958.990000000005</v>
      </c>
      <c r="D52" s="386">
        <f>D50+D51</f>
        <v>18271.57</v>
      </c>
      <c r="E52" s="180">
        <f>(D52-C52)/C52</f>
        <v>-0.50562583014308571</v>
      </c>
      <c r="F52" s="52">
        <f>P51</f>
        <v>675.41834882392607</v>
      </c>
      <c r="G52" s="53">
        <f>N51</f>
        <v>786.59578788248632</v>
      </c>
      <c r="H52" s="180">
        <f>(G52-F52)/F52</f>
        <v>0.16460529870434859</v>
      </c>
      <c r="I52" s="364">
        <f>I50+I51</f>
        <v>24962780</v>
      </c>
      <c r="J52" s="386">
        <f>J50+J51</f>
        <v>14372340</v>
      </c>
      <c r="K52" s="180">
        <f>(J52-I52)/I52</f>
        <v>-0.42424922224207401</v>
      </c>
      <c r="L52" s="370"/>
      <c r="M52" s="380"/>
      <c r="N52" s="380"/>
      <c r="O52" s="373"/>
      <c r="P52" s="373"/>
      <c r="Q52" s="373"/>
      <c r="R52" s="370"/>
      <c r="S52" s="370"/>
    </row>
    <row r="53" spans="2:19" x14ac:dyDescent="0.3">
      <c r="B53" s="167" t="s">
        <v>61</v>
      </c>
      <c r="C53" s="364">
        <v>8772.9201000000012</v>
      </c>
      <c r="D53" s="386">
        <v>8001.6400000000012</v>
      </c>
      <c r="E53" s="180">
        <v>-8.7916006438950686E-2</v>
      </c>
      <c r="F53" s="52">
        <v>720.78850917609509</v>
      </c>
      <c r="G53" s="53">
        <v>754.45533665598543</v>
      </c>
      <c r="H53" s="180">
        <v>4.6708329907164538E-2</v>
      </c>
      <c r="I53" s="52">
        <v>6323420</v>
      </c>
      <c r="J53" s="53">
        <v>6036880</v>
      </c>
      <c r="K53" s="180">
        <v>-4.53140863646571E-2</v>
      </c>
      <c r="L53" s="370"/>
      <c r="M53" s="373"/>
      <c r="N53" s="373"/>
      <c r="O53" s="373"/>
      <c r="P53" s="373"/>
      <c r="Q53" s="373"/>
      <c r="R53" s="370"/>
      <c r="S53" s="370"/>
    </row>
    <row r="54" spans="2:19" x14ac:dyDescent="0.3">
      <c r="B54" s="167" t="s">
        <v>5</v>
      </c>
      <c r="C54" s="364">
        <v>26978.629999999997</v>
      </c>
      <c r="D54" s="386">
        <v>25520.92</v>
      </c>
      <c r="E54" s="180">
        <v>-5.4032024606141947E-2</v>
      </c>
      <c r="F54" s="52">
        <v>1432.3633186711113</v>
      </c>
      <c r="G54" s="53">
        <v>1508.2406903826352</v>
      </c>
      <c r="H54" s="180">
        <v>5.2973551278819295E-2</v>
      </c>
      <c r="I54" s="52">
        <v>38643200</v>
      </c>
      <c r="J54" s="53">
        <v>38491690</v>
      </c>
      <c r="K54" s="180">
        <v>-3.9207415534945342E-3</v>
      </c>
      <c r="L54" s="370"/>
      <c r="M54" s="372">
        <f>C55</f>
        <v>158897.85</v>
      </c>
      <c r="N54" s="372">
        <f>F55</f>
        <v>834.74632152039817</v>
      </c>
      <c r="O54" s="372">
        <f>D55</f>
        <v>156882.01999999996</v>
      </c>
      <c r="P54" s="372">
        <f>G55</f>
        <v>843.4890116789677</v>
      </c>
      <c r="Q54" s="373"/>
      <c r="R54" s="370"/>
      <c r="S54" s="370"/>
    </row>
    <row r="55" spans="2:19" x14ac:dyDescent="0.3">
      <c r="B55" s="167" t="s">
        <v>62</v>
      </c>
      <c r="C55" s="364">
        <v>158897.85</v>
      </c>
      <c r="D55" s="386">
        <v>156882.01999999996</v>
      </c>
      <c r="E55" s="180">
        <v>-1.268632646697262E-2</v>
      </c>
      <c r="F55" s="52">
        <v>834.74632152039817</v>
      </c>
      <c r="G55" s="53">
        <v>843.4890116789677</v>
      </c>
      <c r="H55" s="180">
        <v>1.0473469523825737E-2</v>
      </c>
      <c r="I55" s="52">
        <v>132639395.78500001</v>
      </c>
      <c r="J55" s="53">
        <v>132328260.00000001</v>
      </c>
      <c r="K55" s="180">
        <v>-2.3457267967680407E-3</v>
      </c>
      <c r="L55" s="370"/>
      <c r="M55" s="372">
        <f>C56</f>
        <v>10443.51</v>
      </c>
      <c r="N55" s="372">
        <f>F56</f>
        <v>1017.7507104152164</v>
      </c>
      <c r="O55" s="372">
        <f>D56</f>
        <v>11588.990000000002</v>
      </c>
      <c r="P55" s="372">
        <f>G56</f>
        <v>1002.0623022368643</v>
      </c>
      <c r="Q55" s="373"/>
      <c r="R55" s="370"/>
      <c r="S55" s="370"/>
    </row>
    <row r="56" spans="2:19" x14ac:dyDescent="0.3">
      <c r="B56" s="177" t="s">
        <v>63</v>
      </c>
      <c r="C56" s="389">
        <v>10443.51</v>
      </c>
      <c r="D56" s="387">
        <v>11588.990000000002</v>
      </c>
      <c r="E56" s="179">
        <v>0.10968343018774353</v>
      </c>
      <c r="F56" s="363">
        <v>1017.7507104152164</v>
      </c>
      <c r="G56" s="392">
        <v>1002.0623022368643</v>
      </c>
      <c r="H56" s="179">
        <v>-1.5414784797302326E-2</v>
      </c>
      <c r="I56" s="363">
        <v>10628889.721728416</v>
      </c>
      <c r="J56" s="392">
        <v>11612890</v>
      </c>
      <c r="K56" s="179">
        <v>9.2577898918267329E-2</v>
      </c>
      <c r="L56" s="370"/>
      <c r="M56" s="372">
        <f>M54+M55</f>
        <v>169341.36000000002</v>
      </c>
      <c r="N56" s="372">
        <f>(M54*N54+M55*N55)/M56</f>
        <v>846.03244893467502</v>
      </c>
      <c r="O56" s="372">
        <f>O54+O55</f>
        <v>168471.00999999995</v>
      </c>
      <c r="P56" s="372">
        <f>(O54*P54+O55*P55)/O56</f>
        <v>854.39714524178396</v>
      </c>
      <c r="Q56" s="373"/>
      <c r="R56" s="370"/>
      <c r="S56" s="370"/>
    </row>
    <row r="57" spans="2:19" ht="13.5" thickBot="1" x14ac:dyDescent="0.35">
      <c r="B57" s="379" t="s">
        <v>18</v>
      </c>
      <c r="C57" s="390">
        <f>C55+C56</f>
        <v>169341.36000000002</v>
      </c>
      <c r="D57" s="393">
        <f>D55+D56</f>
        <v>168471.00999999995</v>
      </c>
      <c r="E57" s="396">
        <f>(D57-C57)/C57</f>
        <v>-5.1396185787102684E-3</v>
      </c>
      <c r="F57" s="395">
        <f>N56</f>
        <v>846.03244893467502</v>
      </c>
      <c r="G57" s="394">
        <f>P56</f>
        <v>854.39714524178396</v>
      </c>
      <c r="H57" s="396">
        <f>(G57-F57)/F57</f>
        <v>9.8869686589938451E-3</v>
      </c>
      <c r="I57" s="390">
        <f>I55+I56</f>
        <v>143268285.50672844</v>
      </c>
      <c r="J57" s="393">
        <f>J55+J56</f>
        <v>143941150</v>
      </c>
      <c r="K57" s="396">
        <f>(J57-I57)/I57</f>
        <v>4.696534832476648E-3</v>
      </c>
      <c r="L57" s="370"/>
      <c r="M57" s="373"/>
      <c r="N57" s="373"/>
      <c r="O57" s="373"/>
      <c r="P57" s="373"/>
      <c r="Q57" s="373"/>
      <c r="R57" s="370"/>
      <c r="S57" s="370"/>
    </row>
    <row r="58" spans="2:19" ht="13.5" thickBot="1" x14ac:dyDescent="0.35">
      <c r="B58" s="168"/>
      <c r="C58" s="31">
        <v>686467.4301</v>
      </c>
      <c r="D58" s="376">
        <v>618999.96999999986</v>
      </c>
      <c r="E58" s="185">
        <v>-9.8282099254398611E-2</v>
      </c>
      <c r="F58" s="31">
        <v>528.6637203659642</v>
      </c>
      <c r="G58" s="376">
        <v>589.87768610069577</v>
      </c>
      <c r="H58" s="181">
        <f>(G58-F58)/F58</f>
        <v>0.11578998780615508</v>
      </c>
      <c r="I58" s="31">
        <v>362910425.50672847</v>
      </c>
      <c r="J58" s="376">
        <v>365134270</v>
      </c>
      <c r="K58" s="185">
        <v>6.1278054775262963E-3</v>
      </c>
      <c r="L58" s="370"/>
      <c r="M58" s="373"/>
      <c r="N58" s="373"/>
      <c r="O58" s="373"/>
      <c r="P58" s="373"/>
      <c r="Q58" s="373"/>
      <c r="R58" s="370"/>
      <c r="S58" s="370"/>
    </row>
    <row r="59" spans="2:19" ht="13.5" thickBot="1" x14ac:dyDescent="0.35">
      <c r="B59" s="169"/>
      <c r="C59" s="170"/>
      <c r="D59" s="170"/>
      <c r="E59" s="171"/>
      <c r="F59" s="170"/>
      <c r="G59" s="170"/>
      <c r="H59" s="171"/>
      <c r="I59" s="170"/>
      <c r="J59" s="170"/>
      <c r="K59" s="171"/>
      <c r="L59" s="370"/>
      <c r="M59" s="373"/>
      <c r="N59" s="373"/>
      <c r="O59" s="373"/>
      <c r="P59" s="373"/>
      <c r="Q59" s="373"/>
      <c r="R59" s="370"/>
      <c r="S59" s="370"/>
    </row>
    <row r="60" spans="2:19" ht="13.5" thickBot="1" x14ac:dyDescent="0.35">
      <c r="B60" s="946" t="s">
        <v>64</v>
      </c>
      <c r="C60" s="947"/>
      <c r="D60" s="947"/>
      <c r="E60" s="947"/>
      <c r="F60" s="947"/>
      <c r="G60" s="947"/>
      <c r="H60" s="947"/>
      <c r="I60" s="947"/>
      <c r="J60" s="947"/>
      <c r="K60" s="948"/>
      <c r="L60" s="370"/>
      <c r="M60" s="373"/>
      <c r="N60" s="373"/>
      <c r="O60" s="373"/>
      <c r="P60" s="373"/>
      <c r="Q60" s="373"/>
      <c r="R60" s="370"/>
      <c r="S60" s="370"/>
    </row>
    <row r="61" spans="2:19" x14ac:dyDescent="0.3">
      <c r="B61" s="398" t="s">
        <v>9</v>
      </c>
      <c r="C61" s="362">
        <v>71781.41999999994</v>
      </c>
      <c r="D61" s="391">
        <v>67867.749999999927</v>
      </c>
      <c r="E61" s="178">
        <v>-5.4522047627366746E-2</v>
      </c>
      <c r="F61" s="362">
        <v>584.81393513808996</v>
      </c>
      <c r="G61" s="53">
        <v>648.0616089379713</v>
      </c>
      <c r="H61" s="183">
        <v>0.10815007987958923</v>
      </c>
      <c r="I61" s="362">
        <v>41978774.699999958</v>
      </c>
      <c r="J61" s="391">
        <v>43982483.259999953</v>
      </c>
      <c r="K61" s="178">
        <v>4.7731468446123963E-2</v>
      </c>
      <c r="L61" s="370"/>
      <c r="M61" s="373"/>
      <c r="N61" s="373"/>
      <c r="O61" s="373"/>
      <c r="P61" s="373"/>
      <c r="Q61" s="373"/>
      <c r="R61" s="370"/>
      <c r="S61" s="370"/>
    </row>
    <row r="62" spans="2:19" x14ac:dyDescent="0.3">
      <c r="B62" s="360" t="s">
        <v>8</v>
      </c>
      <c r="C62" s="52">
        <v>76820.489999999962</v>
      </c>
      <c r="D62" s="53">
        <v>60476.489999999932</v>
      </c>
      <c r="E62" s="180">
        <v>-0.21275573743411474</v>
      </c>
      <c r="F62" s="52">
        <v>242.79997979705644</v>
      </c>
      <c r="G62" s="27">
        <v>267.17754932536587</v>
      </c>
      <c r="H62" s="183">
        <v>0.10040185978880783</v>
      </c>
      <c r="I62" s="52">
        <v>18652013.419999968</v>
      </c>
      <c r="J62" s="53">
        <v>16157960.389999978</v>
      </c>
      <c r="K62" s="180">
        <v>-0.13371494936443137</v>
      </c>
      <c r="L62" s="370"/>
      <c r="Q62" s="373"/>
      <c r="R62" s="370"/>
      <c r="S62" s="370"/>
    </row>
    <row r="63" spans="2:19" x14ac:dyDescent="0.3">
      <c r="B63" s="360" t="s">
        <v>42</v>
      </c>
      <c r="C63" s="52">
        <v>44735.059999999954</v>
      </c>
      <c r="D63" s="53">
        <v>47634.899999999965</v>
      </c>
      <c r="E63" s="180">
        <v>6.4822535165930575E-2</v>
      </c>
      <c r="F63" s="52">
        <v>327.58951189514431</v>
      </c>
      <c r="G63" s="27">
        <v>376.06567831568861</v>
      </c>
      <c r="H63" s="183">
        <v>0.14797838349617456</v>
      </c>
      <c r="I63" s="52">
        <v>14654736.46999998</v>
      </c>
      <c r="J63" s="53">
        <v>17913850.979999982</v>
      </c>
      <c r="K63" s="180">
        <v>0.22239325263008336</v>
      </c>
      <c r="L63" s="370"/>
      <c r="M63" s="383">
        <f>C64</f>
        <v>29029.159999999985</v>
      </c>
      <c r="N63" s="383">
        <f>F64</f>
        <v>1360.4586756902372</v>
      </c>
      <c r="O63" s="383">
        <f>D64</f>
        <v>26551.559999999961</v>
      </c>
      <c r="P63" s="383">
        <f>G64</f>
        <v>1429.0040468431978</v>
      </c>
      <c r="Q63" s="373"/>
      <c r="R63" s="370"/>
      <c r="S63" s="370"/>
    </row>
    <row r="64" spans="2:19" x14ac:dyDescent="0.3">
      <c r="B64" s="360" t="s">
        <v>10</v>
      </c>
      <c r="C64" s="52">
        <v>29029.159999999985</v>
      </c>
      <c r="D64" s="53">
        <v>26551.559999999961</v>
      </c>
      <c r="E64" s="180">
        <v>-8.5348663206239017E-2</v>
      </c>
      <c r="F64" s="52">
        <v>1360.4586756902372</v>
      </c>
      <c r="G64" s="27">
        <v>1429.0040468431978</v>
      </c>
      <c r="H64" s="183">
        <v>5.0384015610164451E-2</v>
      </c>
      <c r="I64" s="52">
        <v>39492972.569999985</v>
      </c>
      <c r="J64" s="53">
        <v>37942286.689999923</v>
      </c>
      <c r="K64" s="180">
        <v>-3.9264855975364298E-2</v>
      </c>
      <c r="L64" s="370"/>
      <c r="M64" s="372">
        <f>C65</f>
        <v>1809.6099999999956</v>
      </c>
      <c r="N64" s="372">
        <f>F65</f>
        <v>4221.585954984781</v>
      </c>
      <c r="O64" s="372">
        <f>D65</f>
        <v>1534.4799999999973</v>
      </c>
      <c r="P64" s="372">
        <f>G65</f>
        <v>4503.8961081278385</v>
      </c>
      <c r="Q64" s="373"/>
      <c r="R64" s="370"/>
      <c r="S64" s="370"/>
    </row>
    <row r="65" spans="2:29" x14ac:dyDescent="0.3">
      <c r="B65" s="360" t="s">
        <v>11</v>
      </c>
      <c r="C65" s="52">
        <v>1809.6099999999956</v>
      </c>
      <c r="D65" s="53">
        <v>1534.4799999999973</v>
      </c>
      <c r="E65" s="180">
        <v>-0.15203828449223808</v>
      </c>
      <c r="F65" s="52">
        <v>4221.585954984781</v>
      </c>
      <c r="G65" s="27">
        <v>4503.8961081278385</v>
      </c>
      <c r="H65" s="183">
        <v>6.6873008427013117E-2</v>
      </c>
      <c r="I65" s="52">
        <v>7639424.1599999908</v>
      </c>
      <c r="J65" s="53">
        <v>6911138.4999999935</v>
      </c>
      <c r="K65" s="180">
        <v>-9.5332533545303008E-2</v>
      </c>
      <c r="L65" s="370"/>
      <c r="M65" s="403">
        <f>C66</f>
        <v>19170.8</v>
      </c>
      <c r="N65" s="403">
        <f>F66</f>
        <v>249.63561249400107</v>
      </c>
      <c r="O65" s="403">
        <f>D66</f>
        <v>17743</v>
      </c>
      <c r="P65" s="403">
        <f>G66</f>
        <v>375.81687820548933</v>
      </c>
      <c r="Q65" s="373"/>
      <c r="R65" s="370"/>
      <c r="S65" s="370"/>
    </row>
    <row r="66" spans="2:29" ht="13.5" thickBot="1" x14ac:dyDescent="0.35">
      <c r="B66" s="357" t="s">
        <v>12</v>
      </c>
      <c r="C66" s="363">
        <v>19170.8</v>
      </c>
      <c r="D66" s="392">
        <v>17743</v>
      </c>
      <c r="E66" s="179">
        <v>-7.4477851732843658E-2</v>
      </c>
      <c r="F66" s="363">
        <v>249.63561249400107</v>
      </c>
      <c r="G66" s="361">
        <v>375.81687820548933</v>
      </c>
      <c r="H66" s="397">
        <v>0.50546179870278118</v>
      </c>
      <c r="I66" s="363">
        <v>4785714.3999999957</v>
      </c>
      <c r="J66" s="392">
        <v>6668118.8699999973</v>
      </c>
      <c r="K66" s="179">
        <v>0.39333823806953527</v>
      </c>
      <c r="L66" s="370"/>
      <c r="M66" s="402">
        <f>M64+M65+M63</f>
        <v>50009.569999999978</v>
      </c>
      <c r="N66" s="402">
        <f>(M63*N63+M64*N64+M65*N65)/M66</f>
        <v>1038.1635181026352</v>
      </c>
      <c r="O66" s="402">
        <f>O64+O65+O63</f>
        <v>45829.039999999957</v>
      </c>
      <c r="P66" s="402">
        <f>(O63*P63+O64*P64+O65*P65)/O66</f>
        <v>1124.211723832748</v>
      </c>
      <c r="Q66" s="373"/>
      <c r="R66" s="370"/>
      <c r="S66" s="370"/>
    </row>
    <row r="67" spans="2:29" x14ac:dyDescent="0.3">
      <c r="B67" s="356" t="s">
        <v>245</v>
      </c>
      <c r="C67" s="364">
        <f>C64+C65+C66</f>
        <v>50009.569999999978</v>
      </c>
      <c r="D67" s="386">
        <f>D64+D65+D66</f>
        <v>45829.039999999957</v>
      </c>
      <c r="E67" s="180">
        <f>(D67-C67)/C67</f>
        <v>-8.3594599993561683E-2</v>
      </c>
      <c r="F67" s="364">
        <f>N66</f>
        <v>1038.1635181026352</v>
      </c>
      <c r="G67" s="66">
        <f>P67</f>
        <v>643.44369718315158</v>
      </c>
      <c r="H67" s="180">
        <f>(G67-F67)/F67</f>
        <v>-0.38020968184364645</v>
      </c>
      <c r="I67" s="364">
        <f>I64+I65+I66</f>
        <v>51918111.129999973</v>
      </c>
      <c r="J67" s="386">
        <f>J64+J65+J66</f>
        <v>51521544.059999913</v>
      </c>
      <c r="K67" s="180">
        <f>(J67-I67)/I67</f>
        <v>-7.638318524475567E-3</v>
      </c>
      <c r="L67" s="370"/>
      <c r="M67" s="383">
        <f>C68</f>
        <v>13190.469999999979</v>
      </c>
      <c r="N67" s="383">
        <f>F68</f>
        <v>627.15282397063993</v>
      </c>
      <c r="O67" s="383">
        <f>D68</f>
        <v>13463.979999999972</v>
      </c>
      <c r="P67" s="383">
        <f>G68</f>
        <v>643.44369718315158</v>
      </c>
      <c r="Q67" s="373"/>
      <c r="R67" s="370"/>
      <c r="S67" s="370"/>
    </row>
    <row r="68" spans="2:29" x14ac:dyDescent="0.3">
      <c r="B68" s="399" t="s">
        <v>65</v>
      </c>
      <c r="C68" s="52">
        <v>13190.469999999979</v>
      </c>
      <c r="D68" s="53">
        <v>13463.979999999972</v>
      </c>
      <c r="E68" s="180">
        <v>2.0735424893881218E-2</v>
      </c>
      <c r="F68" s="52">
        <v>627.15282397063993</v>
      </c>
      <c r="G68" s="27">
        <v>643.44369718315158</v>
      </c>
      <c r="H68" s="183">
        <v>2.5975922597893476E-2</v>
      </c>
      <c r="I68" s="52">
        <v>8272440.5099999942</v>
      </c>
      <c r="J68" s="53">
        <v>8663313.069999991</v>
      </c>
      <c r="K68" s="180">
        <v>4.7249969283852493E-2</v>
      </c>
      <c r="L68" s="370"/>
      <c r="M68" s="372">
        <f>C69</f>
        <v>6125.1599999999962</v>
      </c>
      <c r="N68" s="372">
        <f>F69</f>
        <v>916.76482573516432</v>
      </c>
      <c r="O68" s="372">
        <f>D69</f>
        <v>5847.8499999999967</v>
      </c>
      <c r="P68" s="372">
        <f>G69</f>
        <v>960.95030481287938</v>
      </c>
      <c r="Q68" s="373"/>
      <c r="R68" s="370"/>
      <c r="S68" s="370"/>
    </row>
    <row r="69" spans="2:29" x14ac:dyDescent="0.3">
      <c r="B69" s="360" t="s">
        <v>66</v>
      </c>
      <c r="C69" s="52">
        <v>6125.1599999999962</v>
      </c>
      <c r="D69" s="53">
        <v>5847.8499999999967</v>
      </c>
      <c r="E69" s="180">
        <v>-4.5273919375167289E-2</v>
      </c>
      <c r="F69" s="52">
        <v>916.76482573516432</v>
      </c>
      <c r="G69" s="27">
        <v>960.95030481287938</v>
      </c>
      <c r="H69" s="183">
        <v>4.8197179731761866E-2</v>
      </c>
      <c r="I69" s="52">
        <v>5615331.2399999956</v>
      </c>
      <c r="J69" s="53">
        <v>5619493.2399999937</v>
      </c>
      <c r="K69" s="180">
        <v>7.4118512730838313E-4</v>
      </c>
      <c r="L69" s="370"/>
      <c r="M69" s="403">
        <f>C70</f>
        <v>50054.369999999908</v>
      </c>
      <c r="N69" s="403">
        <f>F70</f>
        <v>289.18991728394582</v>
      </c>
      <c r="O69" s="403">
        <f>D70</f>
        <v>48546.429999999913</v>
      </c>
      <c r="P69" s="403">
        <f>G70</f>
        <v>300.56562882172813</v>
      </c>
      <c r="Q69" s="373"/>
      <c r="R69" s="370"/>
      <c r="S69" s="370"/>
    </row>
    <row r="70" spans="2:29" ht="13.5" thickBot="1" x14ac:dyDescent="0.35">
      <c r="B70" s="357" t="s">
        <v>67</v>
      </c>
      <c r="C70" s="363">
        <v>50054.369999999908</v>
      </c>
      <c r="D70" s="392">
        <v>48546.429999999913</v>
      </c>
      <c r="E70" s="179">
        <v>-3.0126040943078452E-2</v>
      </c>
      <c r="F70" s="363">
        <v>289.18991728394582</v>
      </c>
      <c r="G70" s="361">
        <v>300.56562882172813</v>
      </c>
      <c r="H70" s="397">
        <v>3.9336473569418676E-2</v>
      </c>
      <c r="I70" s="363">
        <v>14475219.119999992</v>
      </c>
      <c r="J70" s="392">
        <v>14591388.259999981</v>
      </c>
      <c r="K70" s="179">
        <v>8.0253804130316665E-3</v>
      </c>
      <c r="L70" s="370"/>
      <c r="M70" s="402">
        <f>M68+M69+M67</f>
        <v>69369.999999999884</v>
      </c>
      <c r="N70" s="402">
        <f>(M67*N67+M68*N68+M69*N69)/M70</f>
        <v>408.86537220700632</v>
      </c>
      <c r="O70" s="402">
        <f>O68+O69+O67</f>
        <v>67858.259999999878</v>
      </c>
      <c r="P70" s="402">
        <f>(O67*P67+O68*P68+O69*P69)/O70</f>
        <v>425.5074410985489</v>
      </c>
      <c r="Q70" s="373"/>
      <c r="R70" s="370"/>
      <c r="S70" s="370"/>
    </row>
    <row r="71" spans="2:29" x14ac:dyDescent="0.3">
      <c r="B71" s="360" t="s">
        <v>244</v>
      </c>
      <c r="C71" s="364">
        <f>C68+C69+C70</f>
        <v>69369.999999999884</v>
      </c>
      <c r="D71" s="386">
        <f>D68+D69+D70</f>
        <v>67858.259999999878</v>
      </c>
      <c r="E71" s="180">
        <f>(D71-C71)/C71</f>
        <v>-2.1792417471529591E-2</v>
      </c>
      <c r="F71" s="364">
        <f>N70</f>
        <v>408.86537220700632</v>
      </c>
      <c r="G71" s="66">
        <f>P70</f>
        <v>425.5074410985489</v>
      </c>
      <c r="H71" s="180">
        <f>(G71-F71)/F71</f>
        <v>4.0703052943101253E-2</v>
      </c>
      <c r="I71" s="364">
        <f>I68+I69+I70</f>
        <v>28362990.869999982</v>
      </c>
      <c r="J71" s="386">
        <f>J68+J69+J70</f>
        <v>28874194.569999963</v>
      </c>
      <c r="K71" s="180">
        <f>(J71-I71)/I71</f>
        <v>1.8023617549469701E-2</v>
      </c>
      <c r="L71" s="370"/>
      <c r="M71" s="372">
        <f>C72</f>
        <v>18324.369999999955</v>
      </c>
      <c r="N71" s="372">
        <f>F72</f>
        <v>1190.6080258148036</v>
      </c>
      <c r="O71" s="372">
        <f>D72</f>
        <v>18832.809999999994</v>
      </c>
      <c r="P71" s="372">
        <f>G72</f>
        <v>1187.0857365417044</v>
      </c>
      <c r="Q71" s="373"/>
      <c r="R71" s="370"/>
      <c r="S71" s="370"/>
    </row>
    <row r="72" spans="2:29" x14ac:dyDescent="0.3">
      <c r="B72" s="360" t="s">
        <v>13</v>
      </c>
      <c r="C72" s="52">
        <v>18324.369999999955</v>
      </c>
      <c r="D72" s="53">
        <v>18832.809999999994</v>
      </c>
      <c r="E72" s="180">
        <v>2.77466565016991E-2</v>
      </c>
      <c r="F72" s="52">
        <v>1190.6080258148036</v>
      </c>
      <c r="G72" s="27">
        <v>1187.0857365417044</v>
      </c>
      <c r="H72" s="183">
        <v>-2.9583953717166431E-3</v>
      </c>
      <c r="I72" s="52">
        <v>21817141.989999957</v>
      </c>
      <c r="J72" s="53">
        <v>22356160.129999969</v>
      </c>
      <c r="K72" s="180">
        <v>2.4706175549807328E-2</v>
      </c>
      <c r="L72" s="370"/>
      <c r="M72" s="403">
        <f>C73</f>
        <v>148.92999999999978</v>
      </c>
      <c r="N72" s="403">
        <f>F73</f>
        <v>1972.4506143825984</v>
      </c>
      <c r="O72" s="403">
        <f>D73</f>
        <v>25.619999999999987</v>
      </c>
      <c r="P72" s="403">
        <f>G73</f>
        <v>1969.341530054646</v>
      </c>
      <c r="Q72" s="373"/>
      <c r="R72" s="370"/>
      <c r="S72" s="370"/>
    </row>
    <row r="73" spans="2:29" x14ac:dyDescent="0.3">
      <c r="B73" s="357" t="s">
        <v>68</v>
      </c>
      <c r="C73" s="363">
        <v>148.92999999999978</v>
      </c>
      <c r="D73" s="392">
        <v>25.619999999999987</v>
      </c>
      <c r="E73" s="179">
        <v>-0.82797287316188795</v>
      </c>
      <c r="F73" s="363">
        <v>1972.4506143825984</v>
      </c>
      <c r="G73" s="361">
        <v>1969.341530054646</v>
      </c>
      <c r="H73" s="397">
        <v>-1.5762545866962261E-3</v>
      </c>
      <c r="I73" s="363">
        <v>293757.06999999995</v>
      </c>
      <c r="J73" s="392">
        <v>50454.530000000006</v>
      </c>
      <c r="K73" s="179">
        <v>-0.8282440317096027</v>
      </c>
      <c r="L73" s="370"/>
      <c r="M73" s="384">
        <f>M71+M72</f>
        <v>18473.299999999956</v>
      </c>
      <c r="N73" s="372">
        <f>(M71*N71+M72*N72)/M73</f>
        <v>1196.9111669274039</v>
      </c>
      <c r="O73" s="384">
        <f>O71+O72</f>
        <v>18858.429999999993</v>
      </c>
      <c r="P73" s="372">
        <f>(O71*P71+O72*P72)/O73</f>
        <v>1188.1484651691567</v>
      </c>
      <c r="Q73" s="373"/>
      <c r="R73" s="370"/>
      <c r="S73" s="370"/>
    </row>
    <row r="74" spans="2:29" ht="13.5" thickBot="1" x14ac:dyDescent="0.35">
      <c r="B74" s="400" t="s">
        <v>246</v>
      </c>
      <c r="C74" s="52">
        <f>C72+C73</f>
        <v>18473.299999999956</v>
      </c>
      <c r="D74" s="52">
        <f>D72+D73</f>
        <v>18858.429999999993</v>
      </c>
      <c r="E74" s="180">
        <f>(D74-C74)/C74</f>
        <v>2.0847926466848819E-2</v>
      </c>
      <c r="F74" s="76">
        <f>N73</f>
        <v>1196.9111669274039</v>
      </c>
      <c r="G74" s="27">
        <f>P73</f>
        <v>1188.1484651691567</v>
      </c>
      <c r="H74" s="180">
        <f>(G74-F74)/F74</f>
        <v>-7.3210961685168125E-3</v>
      </c>
      <c r="I74" s="52">
        <f>I72+I73</f>
        <v>22110899.059999958</v>
      </c>
      <c r="J74" s="52">
        <f>J72+J73</f>
        <v>22406614.65999997</v>
      </c>
      <c r="K74" s="180">
        <f>(J74-I74)/I74</f>
        <v>1.3374200623753977E-2</v>
      </c>
      <c r="L74" s="370"/>
      <c r="Q74" s="373"/>
      <c r="R74" s="370"/>
      <c r="S74" s="370"/>
    </row>
    <row r="75" spans="2:29" ht="13.5" thickBot="1" x14ac:dyDescent="0.35">
      <c r="B75" s="172"/>
      <c r="C75" s="31">
        <v>331189.83999999962</v>
      </c>
      <c r="D75" s="376">
        <v>308524.86999999965</v>
      </c>
      <c r="E75" s="354">
        <v>-6.8434979768703039E-2</v>
      </c>
      <c r="F75" s="31">
        <v>536.48241639900561</v>
      </c>
      <c r="G75" s="31">
        <v>586.19795519239665</v>
      </c>
      <c r="H75" s="401">
        <f>(G75-F75)/F75</f>
        <v>9.2669465528979048E-2</v>
      </c>
      <c r="I75" s="31">
        <v>177677525.64999983</v>
      </c>
      <c r="J75" s="376">
        <v>180856647.91999978</v>
      </c>
      <c r="K75" s="185">
        <v>1.789265276162379E-2</v>
      </c>
      <c r="L75" s="370"/>
      <c r="M75" s="373"/>
      <c r="N75" s="373"/>
      <c r="O75" s="373"/>
      <c r="P75" s="373"/>
      <c r="Q75" s="373"/>
      <c r="R75" s="370"/>
      <c r="S75" s="370"/>
    </row>
    <row r="76" spans="2:29" ht="13.5" thickBot="1" x14ac:dyDescent="0.35">
      <c r="B76" s="173"/>
      <c r="C76" s="174"/>
      <c r="D76" s="174"/>
      <c r="E76" s="175"/>
      <c r="F76" s="174"/>
      <c r="G76" s="174"/>
      <c r="H76" s="175"/>
      <c r="I76" s="174"/>
      <c r="J76" s="174"/>
      <c r="K76" s="175"/>
      <c r="L76" s="370"/>
      <c r="M76" s="373"/>
      <c r="N76" s="373"/>
      <c r="O76" s="373"/>
      <c r="P76" s="373"/>
      <c r="Q76" s="373"/>
      <c r="R76" s="370"/>
      <c r="S76" s="370"/>
    </row>
    <row r="77" spans="2:29" x14ac:dyDescent="0.3">
      <c r="B77" s="949" t="s">
        <v>48</v>
      </c>
      <c r="C77" s="950"/>
      <c r="D77" s="950"/>
      <c r="E77" s="950"/>
      <c r="F77" s="950"/>
      <c r="G77" s="950"/>
      <c r="H77" s="950"/>
      <c r="I77" s="950"/>
      <c r="J77" s="950"/>
      <c r="K77" s="951"/>
      <c r="L77" s="370"/>
      <c r="M77" s="373"/>
      <c r="N77" s="373"/>
      <c r="O77" s="373"/>
      <c r="P77" s="373"/>
      <c r="Q77" s="373"/>
      <c r="R77" s="370"/>
      <c r="S77" s="370"/>
    </row>
    <row r="78" spans="2:29" x14ac:dyDescent="0.3">
      <c r="B78" s="952"/>
      <c r="C78" s="953"/>
      <c r="D78" s="953"/>
      <c r="E78" s="953"/>
      <c r="F78" s="953"/>
      <c r="G78" s="953"/>
      <c r="H78" s="953"/>
      <c r="I78" s="953"/>
      <c r="J78" s="953"/>
      <c r="K78" s="954"/>
      <c r="L78" s="370"/>
      <c r="M78" s="373"/>
      <c r="N78" s="373"/>
      <c r="O78" s="373"/>
      <c r="P78" s="373"/>
      <c r="Q78" s="373"/>
      <c r="R78" s="370"/>
      <c r="S78" s="370"/>
    </row>
    <row r="79" spans="2:29" ht="26.25" customHeight="1" x14ac:dyDescent="0.3">
      <c r="B79" s="955" t="s">
        <v>37</v>
      </c>
      <c r="C79" s="957" t="s">
        <v>49</v>
      </c>
      <c r="D79" s="958"/>
      <c r="E79" s="959"/>
      <c r="F79" s="957" t="s">
        <v>39</v>
      </c>
      <c r="G79" s="958"/>
      <c r="H79" s="959"/>
      <c r="I79" s="957" t="s">
        <v>50</v>
      </c>
      <c r="J79" s="958"/>
      <c r="K79" s="960"/>
      <c r="L79" s="370"/>
      <c r="M79" s="373"/>
      <c r="N79" s="373"/>
      <c r="O79" s="373"/>
      <c r="P79" s="373"/>
      <c r="Q79" s="373"/>
      <c r="R79" s="370"/>
      <c r="S79" s="370"/>
    </row>
    <row r="80" spans="2:29" ht="13.5" thickBot="1" x14ac:dyDescent="0.35">
      <c r="B80" s="956"/>
      <c r="C80" s="410">
        <v>43070</v>
      </c>
      <c r="D80" s="411">
        <v>43435</v>
      </c>
      <c r="E80" s="412" t="s">
        <v>533</v>
      </c>
      <c r="F80" s="410">
        <v>43070</v>
      </c>
      <c r="G80" s="411">
        <v>43435</v>
      </c>
      <c r="H80" s="412" t="s">
        <v>533</v>
      </c>
      <c r="I80" s="410">
        <v>43070</v>
      </c>
      <c r="J80" s="411">
        <v>43435</v>
      </c>
      <c r="K80" s="413" t="s">
        <v>533</v>
      </c>
      <c r="L80" s="370"/>
      <c r="M80" s="373"/>
      <c r="N80" s="373"/>
      <c r="O80" s="373"/>
      <c r="P80" s="373"/>
      <c r="Q80" s="373"/>
      <c r="R80" s="370"/>
      <c r="S80" s="370"/>
      <c r="V80" s="152"/>
      <c r="W80" s="152"/>
      <c r="X80" s="152"/>
      <c r="Y80" s="152"/>
      <c r="Z80" s="152"/>
      <c r="AA80" s="152"/>
      <c r="AB80" s="152"/>
      <c r="AC80" s="152"/>
    </row>
    <row r="81" spans="1:29" s="152" customFormat="1" ht="13.5" thickBot="1" x14ac:dyDescent="0.35">
      <c r="A81" s="165"/>
      <c r="B81" s="166"/>
      <c r="C81" s="154"/>
      <c r="D81" s="154"/>
      <c r="E81" s="155"/>
      <c r="F81" s="154"/>
      <c r="G81" s="154"/>
      <c r="H81" s="155"/>
      <c r="I81" s="154"/>
      <c r="J81" s="154"/>
      <c r="K81" s="156"/>
      <c r="L81" s="370"/>
      <c r="M81" s="373"/>
      <c r="N81" s="373"/>
      <c r="O81" s="373"/>
      <c r="P81" s="373"/>
      <c r="Q81" s="381"/>
      <c r="R81" s="375"/>
      <c r="S81" s="375"/>
    </row>
    <row r="82" spans="1:29" s="152" customFormat="1" ht="13.5" thickBot="1" x14ac:dyDescent="0.35">
      <c r="A82" s="165"/>
      <c r="B82" s="940" t="s">
        <v>1</v>
      </c>
      <c r="C82" s="941"/>
      <c r="D82" s="941"/>
      <c r="E82" s="941"/>
      <c r="F82" s="941"/>
      <c r="G82" s="941"/>
      <c r="H82" s="941"/>
      <c r="I82" s="941"/>
      <c r="J82" s="941"/>
      <c r="K82" s="942"/>
      <c r="L82" s="370"/>
      <c r="M82" s="372">
        <f>C83</f>
        <v>12.47</v>
      </c>
      <c r="N82" s="372">
        <f>F83</f>
        <v>162149.15797914995</v>
      </c>
      <c r="O82" s="372">
        <f>D83</f>
        <v>11.99</v>
      </c>
      <c r="P82" s="372">
        <f>G83</f>
        <v>141951.62635529609</v>
      </c>
      <c r="Q82" s="381"/>
      <c r="R82" s="375"/>
      <c r="S82" s="375"/>
    </row>
    <row r="83" spans="1:29" s="152" customFormat="1" x14ac:dyDescent="0.3">
      <c r="A83" s="165"/>
      <c r="B83" s="408" t="s">
        <v>69</v>
      </c>
      <c r="C83" s="362">
        <v>12.47</v>
      </c>
      <c r="D83" s="22">
        <v>11.99</v>
      </c>
      <c r="E83" s="178">
        <f>(D83-C83)/C83</f>
        <v>-3.8492381716118719E-2</v>
      </c>
      <c r="F83" s="362">
        <v>162149.15797914995</v>
      </c>
      <c r="G83" s="22">
        <v>141951.62635529609</v>
      </c>
      <c r="H83" s="407">
        <v>-0.12456143390180896</v>
      </c>
      <c r="I83" s="362">
        <v>2022000</v>
      </c>
      <c r="J83" s="22">
        <v>1702000</v>
      </c>
      <c r="K83" s="407">
        <v>-0.15825914935707219</v>
      </c>
      <c r="L83" s="370"/>
      <c r="M83" s="403">
        <f>C84</f>
        <v>60.459999999999994</v>
      </c>
      <c r="N83" s="403">
        <f>F84</f>
        <v>137694.34336751571</v>
      </c>
      <c r="O83" s="403">
        <f>D84</f>
        <v>27.880000000000003</v>
      </c>
      <c r="P83" s="403">
        <f>G84</f>
        <v>234451.21951219509</v>
      </c>
      <c r="Q83" s="381"/>
      <c r="R83" s="375"/>
      <c r="S83" s="375"/>
    </row>
    <row r="84" spans="1:29" s="152" customFormat="1" x14ac:dyDescent="0.3">
      <c r="A84" s="165"/>
      <c r="B84" s="414" t="s">
        <v>70</v>
      </c>
      <c r="C84" s="363">
        <v>60.459999999999994</v>
      </c>
      <c r="D84" s="361">
        <v>27.880000000000003</v>
      </c>
      <c r="E84" s="179">
        <f>(D84-C84)/C84</f>
        <v>-0.53886867350314249</v>
      </c>
      <c r="F84" s="363">
        <v>137694.34336751571</v>
      </c>
      <c r="G84" s="361">
        <v>234451.21951219509</v>
      </c>
      <c r="H84" s="179">
        <v>0.70269318098586364</v>
      </c>
      <c r="I84" s="363">
        <v>8325000</v>
      </c>
      <c r="J84" s="361">
        <v>6536500</v>
      </c>
      <c r="K84" s="179">
        <v>-0.21483483483483484</v>
      </c>
      <c r="L84" s="370"/>
      <c r="M84" s="384">
        <f>M82+M83</f>
        <v>72.929999999999993</v>
      </c>
      <c r="N84" s="372">
        <f>(M82*N82+M83*N83)/M84</f>
        <v>141875.77128753602</v>
      </c>
      <c r="O84" s="384">
        <f>O82+O83</f>
        <v>39.870000000000005</v>
      </c>
      <c r="P84" s="372">
        <f>(O82*P82+O83*P83)/O84</f>
        <v>206634.0606972661</v>
      </c>
      <c r="Q84" s="381"/>
      <c r="R84" s="375"/>
      <c r="S84" s="375"/>
    </row>
    <row r="85" spans="1:29" s="152" customFormat="1" x14ac:dyDescent="0.3">
      <c r="A85" s="165"/>
      <c r="B85" s="399" t="s">
        <v>247</v>
      </c>
      <c r="C85" s="52">
        <f>C83+C84</f>
        <v>72.929999999999993</v>
      </c>
      <c r="D85" s="27">
        <f>D83+D84</f>
        <v>39.870000000000005</v>
      </c>
      <c r="E85" s="353">
        <f>(D85-C85)/C85</f>
        <v>-0.45331139448786495</v>
      </c>
      <c r="F85" s="52">
        <f>N84</f>
        <v>141875.77128753602</v>
      </c>
      <c r="G85" s="27">
        <f>P84</f>
        <v>206634.0606972661</v>
      </c>
      <c r="H85" s="180">
        <f>(G85-F85)/F85</f>
        <v>0.45644361135127232</v>
      </c>
      <c r="I85" s="52">
        <f>I83+I84</f>
        <v>10347000</v>
      </c>
      <c r="J85" s="27">
        <f>J83+J84</f>
        <v>8238500</v>
      </c>
      <c r="K85" s="180">
        <f>(J85-I85)/I85</f>
        <v>-0.20377887310331497</v>
      </c>
      <c r="L85" s="370"/>
      <c r="M85" s="383"/>
      <c r="N85" s="383"/>
      <c r="O85" s="383"/>
      <c r="P85" s="383"/>
      <c r="Q85" s="381"/>
      <c r="R85" s="375"/>
      <c r="S85" s="375"/>
    </row>
    <row r="86" spans="1:29" s="152" customFormat="1" x14ac:dyDescent="0.3">
      <c r="A86" s="165"/>
      <c r="B86" s="399" t="s">
        <v>71</v>
      </c>
      <c r="C86" s="52">
        <v>5.65</v>
      </c>
      <c r="D86" s="27">
        <v>6.1400000000000006</v>
      </c>
      <c r="E86" s="180">
        <v>8.6725663716814186E-2</v>
      </c>
      <c r="F86" s="52">
        <v>298584.07079646015</v>
      </c>
      <c r="G86" s="27">
        <v>282247.55700325733</v>
      </c>
      <c r="H86" s="180">
        <v>-5.4713279746055672E-2</v>
      </c>
      <c r="I86" s="52">
        <v>1687000</v>
      </c>
      <c r="J86" s="27">
        <v>1733000</v>
      </c>
      <c r="K86" s="180">
        <v>2.7267338470657973E-2</v>
      </c>
      <c r="L86" s="370"/>
      <c r="M86" s="372">
        <f>C87</f>
        <v>0.68</v>
      </c>
      <c r="N86" s="372">
        <f>F87</f>
        <v>676470.5882352941</v>
      </c>
      <c r="O86" s="372">
        <f>D87</f>
        <v>0.33</v>
      </c>
      <c r="P86" s="372">
        <f>G87</f>
        <v>636363.63636363635</v>
      </c>
      <c r="Q86" s="381"/>
      <c r="R86" s="375"/>
      <c r="S86" s="375"/>
    </row>
    <row r="87" spans="1:29" s="152" customFormat="1" x14ac:dyDescent="0.3">
      <c r="A87" s="165"/>
      <c r="B87" s="399" t="s">
        <v>72</v>
      </c>
      <c r="C87" s="52">
        <v>0.68</v>
      </c>
      <c r="D87" s="27">
        <v>0.33</v>
      </c>
      <c r="E87" s="180">
        <v>-0.51470588235294124</v>
      </c>
      <c r="F87" s="52">
        <v>676470.5882352941</v>
      </c>
      <c r="G87" s="27">
        <v>636363.63636363635</v>
      </c>
      <c r="H87" s="180">
        <v>-5.9288537549407098E-2</v>
      </c>
      <c r="I87" s="52">
        <v>460000</v>
      </c>
      <c r="J87" s="27">
        <v>210000</v>
      </c>
      <c r="K87" s="180">
        <v>-0.54347826086956519</v>
      </c>
      <c r="L87" s="370"/>
      <c r="M87" s="403">
        <f>C88</f>
        <v>33.020000000000003</v>
      </c>
      <c r="N87" s="403">
        <f>F88</f>
        <v>590823.74318594788</v>
      </c>
      <c r="O87" s="403">
        <f>D88</f>
        <v>35.799999999999997</v>
      </c>
      <c r="P87" s="403">
        <f>G88</f>
        <v>571033.51955307263</v>
      </c>
      <c r="Q87" s="381"/>
      <c r="R87" s="375"/>
      <c r="S87" s="375"/>
      <c r="V87" s="153"/>
      <c r="W87" s="153"/>
      <c r="X87" s="153"/>
      <c r="Y87" s="153"/>
      <c r="Z87" s="153"/>
      <c r="AA87" s="153"/>
      <c r="AB87" s="153"/>
      <c r="AC87" s="153"/>
    </row>
    <row r="88" spans="1:29" ht="13.5" thickBot="1" x14ac:dyDescent="0.35">
      <c r="B88" s="414" t="s">
        <v>73</v>
      </c>
      <c r="C88" s="363">
        <v>33.020000000000003</v>
      </c>
      <c r="D88" s="361">
        <v>35.799999999999997</v>
      </c>
      <c r="E88" s="179">
        <v>8.419139915202889E-2</v>
      </c>
      <c r="F88" s="363">
        <v>590823.74318594788</v>
      </c>
      <c r="G88" s="361">
        <v>571033.51955307263</v>
      </c>
      <c r="H88" s="179">
        <v>-3.3495985665976766E-2</v>
      </c>
      <c r="I88" s="363">
        <v>19509000</v>
      </c>
      <c r="J88" s="361">
        <v>20443000</v>
      </c>
      <c r="K88" s="179">
        <v>4.787533958685735E-2</v>
      </c>
      <c r="L88" s="370"/>
      <c r="M88" s="405">
        <f>M86+M87</f>
        <v>33.700000000000003</v>
      </c>
      <c r="N88" s="406">
        <f>(M86*N86+M87*N87)/M88</f>
        <v>592551.92878338275</v>
      </c>
      <c r="O88" s="405">
        <f>O86+O87</f>
        <v>36.129999999999995</v>
      </c>
      <c r="P88" s="406">
        <f>(O86*P86+O87*P87)/O88</f>
        <v>571630.2241904235</v>
      </c>
      <c r="Q88" s="373"/>
      <c r="R88" s="370"/>
      <c r="S88" s="370"/>
    </row>
    <row r="89" spans="1:29" x14ac:dyDescent="0.3">
      <c r="B89" s="399" t="s">
        <v>248</v>
      </c>
      <c r="C89" s="52">
        <f>C87+C88</f>
        <v>33.700000000000003</v>
      </c>
      <c r="D89" s="27">
        <f>D87+D88</f>
        <v>36.129999999999995</v>
      </c>
      <c r="E89" s="180">
        <f>(D89-C89)/C89</f>
        <v>7.2106824925815799E-2</v>
      </c>
      <c r="F89" s="52">
        <f>N88</f>
        <v>592551.92878338275</v>
      </c>
      <c r="G89" s="27">
        <f>P88</f>
        <v>571630.2241904235</v>
      </c>
      <c r="H89" s="180">
        <f>(G89-F89)/F89</f>
        <v>-3.5307799328094899E-2</v>
      </c>
      <c r="I89" s="52">
        <f>I87+I88</f>
        <v>19969000</v>
      </c>
      <c r="J89" s="27">
        <f>J87+J88</f>
        <v>20653000</v>
      </c>
      <c r="K89" s="180">
        <f>(J89-I89)/I89</f>
        <v>3.4253092293054233E-2</v>
      </c>
      <c r="L89" s="370"/>
      <c r="M89" s="372">
        <f>C90</f>
        <v>5.0999999999999996</v>
      </c>
      <c r="N89" s="372">
        <f>F90</f>
        <v>99019.607843137259</v>
      </c>
      <c r="O89" s="372">
        <f>D90</f>
        <v>3.85</v>
      </c>
      <c r="P89" s="372">
        <f>G90</f>
        <v>99740.259740259731</v>
      </c>
      <c r="Q89" s="373"/>
      <c r="R89" s="370"/>
      <c r="S89" s="370"/>
    </row>
    <row r="90" spans="1:29" x14ac:dyDescent="0.3">
      <c r="B90" s="399" t="s">
        <v>74</v>
      </c>
      <c r="C90" s="415">
        <v>5.0999999999999996</v>
      </c>
      <c r="D90" s="27">
        <v>3.85</v>
      </c>
      <c r="E90" s="184">
        <v>-0.24509803921568621</v>
      </c>
      <c r="F90" s="415">
        <v>99019.607843137259</v>
      </c>
      <c r="G90" s="27">
        <v>99740.259740259731</v>
      </c>
      <c r="H90" s="184">
        <v>7.2778706442071456E-3</v>
      </c>
      <c r="I90" s="415">
        <v>505000</v>
      </c>
      <c r="J90" s="27">
        <v>384000</v>
      </c>
      <c r="K90" s="184">
        <v>-0.23960396039603959</v>
      </c>
      <c r="L90" s="370"/>
      <c r="M90" s="403">
        <f>C91</f>
        <v>57.98</v>
      </c>
      <c r="N90" s="403">
        <f>F91</f>
        <v>102242.15246636771</v>
      </c>
      <c r="O90" s="403">
        <f>D91</f>
        <v>45.72</v>
      </c>
      <c r="P90" s="403">
        <f>G91</f>
        <v>97397.200349956256</v>
      </c>
      <c r="Q90" s="373"/>
      <c r="R90" s="370"/>
      <c r="S90" s="370"/>
    </row>
    <row r="91" spans="1:29" ht="13.5" thickBot="1" x14ac:dyDescent="0.35">
      <c r="B91" s="414" t="s">
        <v>75</v>
      </c>
      <c r="C91" s="363">
        <v>57.98</v>
      </c>
      <c r="D91" s="361">
        <v>45.72</v>
      </c>
      <c r="E91" s="179">
        <v>-0.21145222490513968</v>
      </c>
      <c r="F91" s="363">
        <v>102242.15246636771</v>
      </c>
      <c r="G91" s="361">
        <v>97397.200349956256</v>
      </c>
      <c r="H91" s="179">
        <v>-4.7387031664901519E-2</v>
      </c>
      <c r="I91" s="363">
        <v>5928000</v>
      </c>
      <c r="J91" s="361">
        <v>4453000</v>
      </c>
      <c r="K91" s="179">
        <v>-0.24881916329284751</v>
      </c>
      <c r="L91" s="370"/>
      <c r="M91" s="405">
        <f>M89+M90</f>
        <v>63.08</v>
      </c>
      <c r="N91" s="406">
        <f>(M89*N89+M90*N90)/M91</f>
        <v>101981.61065313888</v>
      </c>
      <c r="O91" s="405">
        <f>O89+O90</f>
        <v>49.57</v>
      </c>
      <c r="P91" s="406">
        <f>(O89*P89+O90*P90)/O91</f>
        <v>97579.180956223528</v>
      </c>
      <c r="Q91" s="373"/>
      <c r="R91" s="370"/>
      <c r="S91" s="370"/>
    </row>
    <row r="92" spans="1:29" x14ac:dyDescent="0.3">
      <c r="B92" s="399" t="s">
        <v>249</v>
      </c>
      <c r="C92" s="52">
        <f>C90+C91</f>
        <v>63.08</v>
      </c>
      <c r="D92" s="27">
        <f>D90+D91</f>
        <v>49.57</v>
      </c>
      <c r="E92" s="180">
        <f>(D92-C92)/C92</f>
        <v>-0.21417247939124917</v>
      </c>
      <c r="F92" s="52">
        <f>N91</f>
        <v>101981.61065313888</v>
      </c>
      <c r="G92" s="27">
        <f>P91</f>
        <v>97579.180956223528</v>
      </c>
      <c r="H92" s="180">
        <f>(G92-F92)/F92</f>
        <v>-4.3168858274742782E-2</v>
      </c>
      <c r="I92" s="52">
        <f>I90+I91</f>
        <v>6433000</v>
      </c>
      <c r="J92" s="27">
        <f>J90+J91</f>
        <v>4837000</v>
      </c>
      <c r="K92" s="180">
        <f>(J92-I92)/I92</f>
        <v>-0.24809575625680086</v>
      </c>
      <c r="L92" s="370"/>
      <c r="M92" s="372">
        <f>C93</f>
        <v>3.31</v>
      </c>
      <c r="N92" s="372">
        <f>F93</f>
        <v>278549.84894259821</v>
      </c>
      <c r="O92" s="372">
        <f>D93</f>
        <v>5.2</v>
      </c>
      <c r="P92" s="372">
        <f>G93</f>
        <v>278846.15384615381</v>
      </c>
      <c r="Q92" s="373"/>
      <c r="R92" s="370"/>
      <c r="S92" s="370"/>
    </row>
    <row r="93" spans="1:29" ht="13.5" thickBot="1" x14ac:dyDescent="0.35">
      <c r="B93" s="399" t="s">
        <v>76</v>
      </c>
      <c r="C93" s="52">
        <v>3.31</v>
      </c>
      <c r="D93" s="27">
        <v>5.2</v>
      </c>
      <c r="E93" s="180">
        <v>0.57099697885196377</v>
      </c>
      <c r="F93" s="52">
        <v>278549.84894259821</v>
      </c>
      <c r="G93" s="27">
        <v>278846.15384615381</v>
      </c>
      <c r="H93" s="180">
        <v>1.0637410312028706E-3</v>
      </c>
      <c r="I93" s="52">
        <v>922000</v>
      </c>
      <c r="J93" s="27">
        <v>1450000</v>
      </c>
      <c r="K93" s="180">
        <v>0.57266811279826468</v>
      </c>
      <c r="L93" s="370"/>
      <c r="M93" s="402">
        <f>C94</f>
        <v>4.51</v>
      </c>
      <c r="N93" s="402">
        <f>F94</f>
        <v>313968.95787139691</v>
      </c>
      <c r="O93" s="402">
        <f>D94</f>
        <v>4.01</v>
      </c>
      <c r="P93" s="402">
        <f>G94</f>
        <v>305985.03740648378</v>
      </c>
      <c r="Q93" s="373"/>
      <c r="R93" s="370"/>
      <c r="S93" s="370"/>
    </row>
    <row r="94" spans="1:29" x14ac:dyDescent="0.3">
      <c r="B94" s="414" t="s">
        <v>77</v>
      </c>
      <c r="C94" s="363">
        <v>4.51</v>
      </c>
      <c r="D94" s="361">
        <v>4.01</v>
      </c>
      <c r="E94" s="179">
        <v>-0.11086474501108648</v>
      </c>
      <c r="F94" s="363">
        <v>313968.95787139691</v>
      </c>
      <c r="G94" s="361">
        <v>305985.03740648378</v>
      </c>
      <c r="H94" s="179">
        <v>-2.5429012215224721E-2</v>
      </c>
      <c r="I94" s="363">
        <v>1416000</v>
      </c>
      <c r="J94" s="361">
        <v>1227000</v>
      </c>
      <c r="K94" s="179">
        <v>-0.13347457627118645</v>
      </c>
      <c r="L94" s="370"/>
      <c r="M94" s="384">
        <f>M92+M93</f>
        <v>7.82</v>
      </c>
      <c r="N94" s="372">
        <f>(M92*N92+M93*N93)/M94</f>
        <v>298976.98209718667</v>
      </c>
      <c r="O94" s="384">
        <f>O92+O93</f>
        <v>9.2100000000000009</v>
      </c>
      <c r="P94" s="372">
        <f>(O92*P92+O93*P93)/O94</f>
        <v>290662.32356134633</v>
      </c>
      <c r="Q94" s="373"/>
      <c r="R94" s="370"/>
      <c r="S94" s="370"/>
    </row>
    <row r="95" spans="1:29" ht="13.5" thickBot="1" x14ac:dyDescent="0.35">
      <c r="B95" s="400" t="s">
        <v>250</v>
      </c>
      <c r="C95" s="52">
        <f>C93+C94</f>
        <v>7.82</v>
      </c>
      <c r="D95" s="27">
        <f>D93+D94</f>
        <v>9.2100000000000009</v>
      </c>
      <c r="E95" s="180">
        <f>(D95-C95)/C95</f>
        <v>0.1777493606138108</v>
      </c>
      <c r="F95" s="52">
        <f>N94</f>
        <v>298976.98209718667</v>
      </c>
      <c r="G95" s="30">
        <f>P94</f>
        <v>290662.32356134633</v>
      </c>
      <c r="H95" s="180">
        <f>(G95-F95)/F95</f>
        <v>-2.7810363451784198E-2</v>
      </c>
      <c r="I95" s="52">
        <f>I93+I94</f>
        <v>2338000</v>
      </c>
      <c r="J95" s="27">
        <f>J93+J94</f>
        <v>2677000</v>
      </c>
      <c r="K95" s="180">
        <f>(J95-I95)/I95</f>
        <v>0.14499572284003423</v>
      </c>
      <c r="L95" s="370"/>
      <c r="M95" s="373"/>
      <c r="N95" s="373"/>
      <c r="O95" s="373"/>
      <c r="P95" s="373"/>
      <c r="Q95" s="373"/>
      <c r="R95" s="370"/>
      <c r="S95" s="370"/>
    </row>
    <row r="96" spans="1:29" ht="13.5" thickBot="1" x14ac:dyDescent="0.35">
      <c r="B96" s="168"/>
      <c r="C96" s="31">
        <v>183.17999999999998</v>
      </c>
      <c r="D96" s="32">
        <v>140.91999999999996</v>
      </c>
      <c r="E96" s="181">
        <v>-0.23070204170761013</v>
      </c>
      <c r="F96" s="31">
        <v>222589.80238017254</v>
      </c>
      <c r="G96" s="136">
        <v>270639.36985523708</v>
      </c>
      <c r="H96" s="401">
        <f>(G96-F96)/F96</f>
        <v>0.21586598739594648</v>
      </c>
      <c r="I96" s="31">
        <v>40774000</v>
      </c>
      <c r="J96" s="32">
        <v>38138500</v>
      </c>
      <c r="K96" s="181">
        <v>-6.4636778339137682E-2</v>
      </c>
      <c r="L96" s="370"/>
      <c r="M96" s="373"/>
      <c r="N96" s="373"/>
      <c r="O96" s="373"/>
      <c r="P96" s="373"/>
      <c r="Q96" s="373"/>
      <c r="R96" s="370"/>
      <c r="S96" s="370"/>
    </row>
    <row r="97" spans="1:29" ht="13.5" thickBot="1" x14ac:dyDescent="0.35">
      <c r="B97" s="169"/>
      <c r="C97" s="76"/>
      <c r="D97" s="76"/>
      <c r="E97" s="77"/>
      <c r="F97" s="76"/>
      <c r="G97" s="76"/>
      <c r="H97" s="77"/>
      <c r="I97" s="76"/>
      <c r="J97" s="76"/>
      <c r="K97" s="404"/>
      <c r="L97" s="370"/>
      <c r="M97" s="373"/>
      <c r="N97" s="373"/>
      <c r="O97" s="373"/>
      <c r="P97" s="373"/>
      <c r="Q97" s="373"/>
      <c r="R97" s="370"/>
      <c r="S97" s="370"/>
    </row>
    <row r="98" spans="1:29" ht="13.5" thickBot="1" x14ac:dyDescent="0.35">
      <c r="B98" s="409" t="s">
        <v>3</v>
      </c>
      <c r="C98" s="31">
        <v>1017840.4500999996</v>
      </c>
      <c r="D98" s="32">
        <v>927665.75999999954</v>
      </c>
      <c r="E98" s="181">
        <v>-8.8594130928025733E-2</v>
      </c>
      <c r="F98" s="31">
        <v>571.17198584474738</v>
      </c>
      <c r="G98" s="32">
        <v>629.67659593256963</v>
      </c>
      <c r="H98" s="181">
        <f>(G98-F98)/F98</f>
        <v>0.10242906083934694</v>
      </c>
      <c r="I98" s="376">
        <v>581361951.15672827</v>
      </c>
      <c r="J98" s="32">
        <v>584129417.91999984</v>
      </c>
      <c r="K98" s="181">
        <v>4.7603162844853846E-3</v>
      </c>
      <c r="L98" s="370"/>
      <c r="M98" s="373"/>
      <c r="N98" s="373"/>
      <c r="O98" s="373"/>
      <c r="P98" s="373"/>
      <c r="Q98" s="373"/>
      <c r="R98" s="370"/>
      <c r="S98" s="370"/>
    </row>
    <row r="99" spans="1:29" x14ac:dyDescent="0.3">
      <c r="K99" s="176"/>
      <c r="L99" s="370"/>
      <c r="M99" s="370"/>
      <c r="N99" s="370"/>
      <c r="O99" s="370"/>
      <c r="P99" s="370"/>
      <c r="Q99" s="370"/>
      <c r="R99" s="370"/>
      <c r="S99" s="370"/>
    </row>
    <row r="100" spans="1:29" x14ac:dyDescent="0.3">
      <c r="L100" s="370"/>
      <c r="M100" s="370"/>
      <c r="N100" s="370"/>
      <c r="O100" s="370"/>
      <c r="P100" s="370"/>
      <c r="Q100" s="370"/>
      <c r="R100" s="370"/>
      <c r="S100" s="370"/>
    </row>
    <row r="101" spans="1:29" x14ac:dyDescent="0.3">
      <c r="I101" s="153"/>
      <c r="L101" s="370"/>
      <c r="M101" s="370"/>
      <c r="N101" s="370"/>
      <c r="O101" s="370"/>
      <c r="P101" s="370"/>
      <c r="Q101" s="370"/>
      <c r="R101" s="370"/>
      <c r="S101" s="370"/>
      <c r="V101" s="152"/>
      <c r="W101" s="152"/>
      <c r="X101" s="152"/>
      <c r="Y101" s="152"/>
      <c r="Z101" s="152"/>
      <c r="AA101" s="152"/>
      <c r="AB101" s="152"/>
      <c r="AC101" s="152"/>
    </row>
    <row r="102" spans="1:29" s="152" customFormat="1" x14ac:dyDescent="0.3">
      <c r="A102" s="165"/>
      <c r="B102" s="153"/>
      <c r="C102" s="151"/>
      <c r="D102" s="151"/>
      <c r="F102" s="151"/>
      <c r="G102" s="151"/>
      <c r="I102" s="151"/>
      <c r="J102" s="151"/>
      <c r="L102" s="153"/>
      <c r="M102" s="153"/>
      <c r="N102" s="153"/>
      <c r="O102" s="153"/>
      <c r="P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 x14ac:dyDescent="0.3">
      <c r="I103" s="153"/>
      <c r="P103" s="152"/>
    </row>
    <row r="105" spans="1:29" x14ac:dyDescent="0.3">
      <c r="C105" s="152"/>
      <c r="D105" s="152"/>
      <c r="F105" s="152"/>
      <c r="G105" s="152"/>
      <c r="I105" s="152"/>
      <c r="J105" s="152"/>
    </row>
    <row r="106" spans="1:29" x14ac:dyDescent="0.3">
      <c r="C106" s="152"/>
      <c r="D106" s="152"/>
      <c r="F106" s="152"/>
      <c r="G106" s="152"/>
      <c r="I106" s="152"/>
      <c r="J106" s="152"/>
    </row>
    <row r="107" spans="1:29" x14ac:dyDescent="0.3">
      <c r="C107" s="152"/>
      <c r="D107" s="152"/>
      <c r="F107" s="152"/>
      <c r="G107" s="152"/>
      <c r="I107" s="152"/>
      <c r="J107" s="152"/>
    </row>
    <row r="108" spans="1:29" x14ac:dyDescent="0.3">
      <c r="C108" s="152"/>
      <c r="D108" s="152"/>
      <c r="F108" s="152"/>
      <c r="G108" s="152"/>
      <c r="I108" s="152"/>
      <c r="J108" s="152"/>
    </row>
    <row r="109" spans="1:29" x14ac:dyDescent="0.3">
      <c r="C109" s="152"/>
      <c r="D109" s="152"/>
      <c r="F109" s="152"/>
      <c r="G109" s="152"/>
      <c r="I109" s="152"/>
      <c r="J109" s="152"/>
    </row>
    <row r="110" spans="1:29" x14ac:dyDescent="0.3">
      <c r="C110" s="152"/>
      <c r="D110" s="152"/>
      <c r="F110" s="152"/>
      <c r="G110" s="152"/>
      <c r="I110" s="152"/>
      <c r="J110" s="152"/>
    </row>
    <row r="111" spans="1:29" x14ac:dyDescent="0.3">
      <c r="C111" s="152"/>
      <c r="D111" s="152"/>
      <c r="F111" s="152"/>
      <c r="G111" s="152"/>
      <c r="I111" s="152"/>
      <c r="J111" s="152"/>
    </row>
    <row r="112" spans="1:29" x14ac:dyDescent="0.3">
      <c r="C112" s="152"/>
      <c r="D112" s="152"/>
      <c r="F112" s="152"/>
      <c r="G112" s="152"/>
      <c r="I112" s="152"/>
      <c r="J112" s="152"/>
    </row>
  </sheetData>
  <mergeCells count="23">
    <mergeCell ref="B36:B37"/>
    <mergeCell ref="C36:E36"/>
    <mergeCell ref="F36:H36"/>
    <mergeCell ref="I36:K36"/>
    <mergeCell ref="B3:K4"/>
    <mergeCell ref="B5:B6"/>
    <mergeCell ref="C5:E5"/>
    <mergeCell ref="F5:H5"/>
    <mergeCell ref="I5:K5"/>
    <mergeCell ref="B17:K18"/>
    <mergeCell ref="B19:B20"/>
    <mergeCell ref="C19:E19"/>
    <mergeCell ref="F19:H19"/>
    <mergeCell ref="I19:K19"/>
    <mergeCell ref="B34:K35"/>
    <mergeCell ref="B82:K82"/>
    <mergeCell ref="B39:K39"/>
    <mergeCell ref="B60:K60"/>
    <mergeCell ref="B77:K78"/>
    <mergeCell ref="B79:B80"/>
    <mergeCell ref="C79:E79"/>
    <mergeCell ref="F79:H79"/>
    <mergeCell ref="I79:K79"/>
  </mergeCells>
  <pageMargins left="0.78740157480314965" right="0.70866141732283472" top="0.74803149606299213" bottom="0.70866141732283472" header="0.31496062992125984" footer="0.31496062992125984"/>
  <pageSetup paperSize="9" scale="84" fitToHeight="3" orientation="portrait" r:id="rId1"/>
  <headerFooter alignWithMargins="0">
    <oddFooter>&amp;R&amp;"Arial,Negrita Cursiva"&amp;14&amp;F</oddFooter>
  </headerFooter>
  <rowBreaks count="1" manualBreakCount="1">
    <brk id="58" min="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P176"/>
  <sheetViews>
    <sheetView showRuler="0" topLeftCell="A142" zoomScale="90" zoomScaleNormal="90" workbookViewId="0">
      <pane xSplit="1" topLeftCell="B1" activePane="topRight" state="frozen"/>
      <selection activeCell="M3" sqref="M3:M151"/>
      <selection pane="topRight" activeCell="L28" sqref="L28"/>
    </sheetView>
  </sheetViews>
  <sheetFormatPr baseColWidth="10" defaultColWidth="18.75" defaultRowHeight="12.5" x14ac:dyDescent="0.25"/>
  <cols>
    <col min="1" max="1" width="18.75" style="231"/>
    <col min="2" max="2" width="15.08203125" style="230" customWidth="1"/>
    <col min="3" max="3" width="12.83203125" style="230" customWidth="1"/>
    <col min="4" max="4" width="14.25" style="231" customWidth="1"/>
    <col min="5" max="5" width="14" style="230" customWidth="1"/>
    <col min="6" max="6" width="16.33203125" style="230" customWidth="1"/>
    <col min="7" max="7" width="13.75" style="230" customWidth="1"/>
    <col min="8" max="8" width="14.5" style="230" customWidth="1"/>
    <col min="9" max="9" width="17.25" style="233" customWidth="1"/>
    <col min="10" max="10" width="14.83203125" style="234" customWidth="1"/>
    <col min="11" max="11" width="5.58203125" style="234" customWidth="1"/>
    <col min="12" max="12" width="14.58203125" style="231" customWidth="1"/>
    <col min="13" max="13" width="6.33203125" style="229" customWidth="1"/>
    <col min="14" max="15" width="18.75" style="196"/>
    <col min="16" max="16" width="18.75" style="229"/>
    <col min="17" max="16384" width="18.75" style="196"/>
  </cols>
  <sheetData>
    <row r="1" spans="1:16" ht="37.15" customHeight="1" x14ac:dyDescent="0.25">
      <c r="A1" s="190"/>
      <c r="B1" s="192" t="s">
        <v>252</v>
      </c>
      <c r="D1" s="193" t="s">
        <v>253</v>
      </c>
      <c r="E1" s="191"/>
      <c r="F1" s="193" t="s">
        <v>254</v>
      </c>
      <c r="H1" s="193" t="s">
        <v>88</v>
      </c>
      <c r="J1" s="194" t="s">
        <v>7</v>
      </c>
      <c r="K1" s="191" t="s">
        <v>255</v>
      </c>
      <c r="L1" s="195" t="s">
        <v>90</v>
      </c>
      <c r="M1" s="196"/>
      <c r="P1" s="196"/>
    </row>
    <row r="2" spans="1:16" ht="13" x14ac:dyDescent="0.25">
      <c r="A2" s="197"/>
      <c r="B2" s="199"/>
      <c r="D2" s="200"/>
      <c r="E2" s="198"/>
      <c r="F2" s="198"/>
      <c r="H2" s="201"/>
      <c r="J2" s="202"/>
      <c r="K2" s="203"/>
      <c r="L2" s="331"/>
      <c r="M2" s="196"/>
      <c r="P2" s="196"/>
    </row>
    <row r="3" spans="1:16" x14ac:dyDescent="0.25">
      <c r="A3" s="214" t="s">
        <v>527</v>
      </c>
      <c r="B3" s="207">
        <v>6885</v>
      </c>
      <c r="D3" s="200"/>
      <c r="E3" s="215">
        <v>3</v>
      </c>
      <c r="F3" s="202">
        <f t="shared" ref="F3:F34" si="0">+B3+D3</f>
        <v>6885</v>
      </c>
      <c r="H3" s="201"/>
      <c r="J3" s="202"/>
      <c r="K3" s="202">
        <f t="shared" ref="K3:K34" si="1">+J3+H3+F3</f>
        <v>6885</v>
      </c>
      <c r="L3" s="204">
        <f t="shared" ref="L3:L34" si="2">+K3</f>
        <v>6885</v>
      </c>
      <c r="M3" s="196"/>
      <c r="P3" s="196"/>
    </row>
    <row r="4" spans="1:16" x14ac:dyDescent="0.25">
      <c r="A4" s="205" t="s">
        <v>91</v>
      </c>
      <c r="B4" s="207">
        <v>4266356.13</v>
      </c>
      <c r="D4" s="207">
        <v>1619304.8</v>
      </c>
      <c r="E4" s="206">
        <v>1</v>
      </c>
      <c r="F4" s="202">
        <f t="shared" si="0"/>
        <v>5885660.9299999997</v>
      </c>
      <c r="H4" s="202">
        <v>627603</v>
      </c>
      <c r="J4" s="202">
        <v>9283033.1199999992</v>
      </c>
      <c r="K4" s="202">
        <f t="shared" si="1"/>
        <v>15796297.049999999</v>
      </c>
      <c r="L4" s="204">
        <f t="shared" si="2"/>
        <v>15796297.049999999</v>
      </c>
      <c r="M4" s="196"/>
      <c r="P4" s="196"/>
    </row>
    <row r="5" spans="1:16" x14ac:dyDescent="0.25">
      <c r="A5" s="208" t="s">
        <v>256</v>
      </c>
      <c r="B5" s="207">
        <v>0</v>
      </c>
      <c r="D5" s="207">
        <v>0</v>
      </c>
      <c r="E5" s="209">
        <v>3</v>
      </c>
      <c r="F5" s="202">
        <f t="shared" si="0"/>
        <v>0</v>
      </c>
      <c r="H5" s="207">
        <v>0</v>
      </c>
      <c r="J5" s="202">
        <v>0</v>
      </c>
      <c r="K5" s="202">
        <f t="shared" si="1"/>
        <v>0</v>
      </c>
      <c r="L5" s="204">
        <f t="shared" si="2"/>
        <v>0</v>
      </c>
      <c r="M5" s="196"/>
      <c r="P5" s="196"/>
    </row>
    <row r="6" spans="1:16" x14ac:dyDescent="0.25">
      <c r="A6" s="210" t="s">
        <v>92</v>
      </c>
      <c r="B6" s="207">
        <v>102203.13</v>
      </c>
      <c r="D6" s="207">
        <v>0</v>
      </c>
      <c r="E6" s="211">
        <v>3</v>
      </c>
      <c r="F6" s="202">
        <f t="shared" si="0"/>
        <v>102203.13</v>
      </c>
      <c r="H6" s="202">
        <v>1706685.33</v>
      </c>
      <c r="J6" s="202">
        <v>0</v>
      </c>
      <c r="K6" s="202">
        <f t="shared" si="1"/>
        <v>1808888.46</v>
      </c>
      <c r="L6" s="204">
        <f t="shared" si="2"/>
        <v>1808888.46</v>
      </c>
      <c r="M6" s="196"/>
      <c r="P6" s="196"/>
    </row>
    <row r="7" spans="1:16" x14ac:dyDescent="0.25">
      <c r="A7" s="208" t="s">
        <v>93</v>
      </c>
      <c r="B7" s="207">
        <v>0</v>
      </c>
      <c r="D7" s="207">
        <v>90000</v>
      </c>
      <c r="E7" s="209">
        <v>3</v>
      </c>
      <c r="F7" s="202">
        <f t="shared" si="0"/>
        <v>90000</v>
      </c>
      <c r="H7" s="207">
        <v>515351.37</v>
      </c>
      <c r="J7" s="202">
        <v>871400</v>
      </c>
      <c r="K7" s="202">
        <f t="shared" si="1"/>
        <v>1476751.37</v>
      </c>
      <c r="L7" s="204">
        <f t="shared" si="2"/>
        <v>1476751.37</v>
      </c>
      <c r="M7" s="196"/>
      <c r="P7" s="196"/>
    </row>
    <row r="8" spans="1:16" x14ac:dyDescent="0.25">
      <c r="A8" s="212" t="s">
        <v>94</v>
      </c>
      <c r="B8" s="207">
        <v>121073.78</v>
      </c>
      <c r="D8" s="207">
        <v>0</v>
      </c>
      <c r="E8" s="209">
        <v>3</v>
      </c>
      <c r="F8" s="202">
        <f t="shared" si="0"/>
        <v>121073.78</v>
      </c>
      <c r="H8" s="202">
        <v>400179.65</v>
      </c>
      <c r="J8" s="202">
        <v>1105282.96</v>
      </c>
      <c r="K8" s="202">
        <f t="shared" si="1"/>
        <v>1626536.39</v>
      </c>
      <c r="L8" s="204">
        <f t="shared" si="2"/>
        <v>1626536.39</v>
      </c>
      <c r="M8" s="196"/>
      <c r="P8" s="196"/>
    </row>
    <row r="9" spans="1:16" x14ac:dyDescent="0.25">
      <c r="A9" s="212" t="s">
        <v>257</v>
      </c>
      <c r="B9" s="207">
        <v>0</v>
      </c>
      <c r="D9" s="207">
        <v>0</v>
      </c>
      <c r="E9" s="209">
        <v>3</v>
      </c>
      <c r="F9" s="202">
        <f t="shared" si="0"/>
        <v>0</v>
      </c>
      <c r="H9" s="202">
        <v>0</v>
      </c>
      <c r="J9" s="202">
        <v>0</v>
      </c>
      <c r="K9" s="202">
        <f t="shared" si="1"/>
        <v>0</v>
      </c>
      <c r="L9" s="204">
        <f t="shared" si="2"/>
        <v>0</v>
      </c>
      <c r="M9" s="196"/>
      <c r="P9" s="196"/>
    </row>
    <row r="10" spans="1:16" x14ac:dyDescent="0.25">
      <c r="A10" s="197" t="s">
        <v>95</v>
      </c>
      <c r="B10" s="207">
        <v>21600</v>
      </c>
      <c r="D10" s="207">
        <v>0</v>
      </c>
      <c r="E10" s="198">
        <v>2</v>
      </c>
      <c r="F10" s="202">
        <f t="shared" si="0"/>
        <v>21600</v>
      </c>
      <c r="H10" s="207">
        <v>4921.26</v>
      </c>
      <c r="J10" s="202">
        <v>0</v>
      </c>
      <c r="K10" s="202">
        <f t="shared" si="1"/>
        <v>26521.260000000002</v>
      </c>
      <c r="L10" s="204">
        <f t="shared" si="2"/>
        <v>26521.260000000002</v>
      </c>
      <c r="M10" s="196"/>
      <c r="P10" s="196"/>
    </row>
    <row r="11" spans="1:16" x14ac:dyDescent="0.25">
      <c r="A11" s="205" t="s">
        <v>96</v>
      </c>
      <c r="B11" s="207">
        <v>776800</v>
      </c>
      <c r="D11" s="207">
        <v>0</v>
      </c>
      <c r="E11" s="206">
        <v>1</v>
      </c>
      <c r="F11" s="202">
        <f t="shared" si="0"/>
        <v>776800</v>
      </c>
      <c r="H11" s="207">
        <v>0</v>
      </c>
      <c r="J11" s="202">
        <v>1957789.02</v>
      </c>
      <c r="K11" s="202">
        <f t="shared" si="1"/>
        <v>2734589.02</v>
      </c>
      <c r="L11" s="204">
        <f t="shared" si="2"/>
        <v>2734589.02</v>
      </c>
      <c r="M11" s="196"/>
      <c r="P11" s="196"/>
    </row>
    <row r="12" spans="1:16" x14ac:dyDescent="0.25">
      <c r="A12" s="212" t="s">
        <v>97</v>
      </c>
      <c r="B12" s="207">
        <v>472350.13</v>
      </c>
      <c r="D12" s="207">
        <v>0</v>
      </c>
      <c r="E12" s="209">
        <v>3</v>
      </c>
      <c r="F12" s="202">
        <f t="shared" si="0"/>
        <v>472350.13</v>
      </c>
      <c r="H12" s="202">
        <v>515451.07</v>
      </c>
      <c r="J12" s="202">
        <v>4133040.4</v>
      </c>
      <c r="K12" s="202">
        <f t="shared" si="1"/>
        <v>5120841.5999999996</v>
      </c>
      <c r="L12" s="204">
        <f t="shared" si="2"/>
        <v>5120841.5999999996</v>
      </c>
      <c r="M12" s="196"/>
      <c r="P12" s="196"/>
    </row>
    <row r="13" spans="1:16" x14ac:dyDescent="0.25">
      <c r="A13" s="212" t="s">
        <v>98</v>
      </c>
      <c r="B13" s="207">
        <v>39605.85</v>
      </c>
      <c r="D13" s="207">
        <v>0</v>
      </c>
      <c r="E13" s="209">
        <v>3</v>
      </c>
      <c r="F13" s="202">
        <f t="shared" si="0"/>
        <v>39605.85</v>
      </c>
      <c r="H13" s="207">
        <v>0</v>
      </c>
      <c r="J13" s="202">
        <v>0</v>
      </c>
      <c r="K13" s="202">
        <f t="shared" si="1"/>
        <v>39605.85</v>
      </c>
      <c r="L13" s="204">
        <f t="shared" si="2"/>
        <v>39605.85</v>
      </c>
      <c r="M13" s="196"/>
      <c r="P13" s="196"/>
    </row>
    <row r="14" spans="1:16" x14ac:dyDescent="0.25">
      <c r="A14" s="212" t="s">
        <v>99</v>
      </c>
      <c r="B14" s="207">
        <v>0</v>
      </c>
      <c r="D14" s="207">
        <v>0</v>
      </c>
      <c r="E14" s="209">
        <v>3</v>
      </c>
      <c r="F14" s="202">
        <f t="shared" si="0"/>
        <v>0</v>
      </c>
      <c r="H14" s="207">
        <v>0</v>
      </c>
      <c r="J14" s="202">
        <v>0</v>
      </c>
      <c r="K14" s="202">
        <f t="shared" si="1"/>
        <v>0</v>
      </c>
      <c r="L14" s="204">
        <f t="shared" si="2"/>
        <v>0</v>
      </c>
      <c r="M14" s="196"/>
      <c r="P14" s="196"/>
    </row>
    <row r="15" spans="1:16" x14ac:dyDescent="0.25">
      <c r="A15" s="205" t="s">
        <v>100</v>
      </c>
      <c r="B15" s="207">
        <v>303980.71000000002</v>
      </c>
      <c r="D15" s="207">
        <v>716595.13</v>
      </c>
      <c r="E15" s="206">
        <v>1</v>
      </c>
      <c r="F15" s="202">
        <f t="shared" si="0"/>
        <v>1020575.8400000001</v>
      </c>
      <c r="H15" s="202">
        <v>7250</v>
      </c>
      <c r="J15" s="202">
        <v>3522216.3</v>
      </c>
      <c r="K15" s="202">
        <f t="shared" si="1"/>
        <v>4550042.1399999997</v>
      </c>
      <c r="L15" s="204">
        <f t="shared" si="2"/>
        <v>4550042.1399999997</v>
      </c>
      <c r="M15" s="196"/>
      <c r="P15" s="196"/>
    </row>
    <row r="16" spans="1:16" s="213" customFormat="1" x14ac:dyDescent="0.25">
      <c r="A16" s="212" t="s">
        <v>258</v>
      </c>
      <c r="B16" s="207">
        <v>0</v>
      </c>
      <c r="D16" s="207">
        <v>0</v>
      </c>
      <c r="E16" s="209">
        <v>3</v>
      </c>
      <c r="F16" s="202">
        <f t="shared" si="0"/>
        <v>0</v>
      </c>
      <c r="H16" s="207">
        <v>0</v>
      </c>
      <c r="J16" s="202">
        <v>0</v>
      </c>
      <c r="K16" s="202">
        <f t="shared" si="1"/>
        <v>0</v>
      </c>
      <c r="L16" s="204">
        <f t="shared" si="2"/>
        <v>0</v>
      </c>
    </row>
    <row r="17" spans="1:16" x14ac:dyDescent="0.25">
      <c r="A17" s="212" t="s">
        <v>101</v>
      </c>
      <c r="B17" s="207">
        <v>6230</v>
      </c>
      <c r="D17" s="207">
        <v>0</v>
      </c>
      <c r="E17" s="209">
        <v>3</v>
      </c>
      <c r="F17" s="202">
        <f t="shared" si="0"/>
        <v>6230</v>
      </c>
      <c r="H17" s="207">
        <v>9500</v>
      </c>
      <c r="J17" s="202">
        <v>44420</v>
      </c>
      <c r="K17" s="202">
        <f t="shared" si="1"/>
        <v>60150</v>
      </c>
      <c r="L17" s="204">
        <f t="shared" si="2"/>
        <v>60150</v>
      </c>
      <c r="M17" s="196"/>
      <c r="P17" s="196"/>
    </row>
    <row r="18" spans="1:16" x14ac:dyDescent="0.25">
      <c r="A18" s="212" t="s">
        <v>259</v>
      </c>
      <c r="B18" s="207">
        <v>0</v>
      </c>
      <c r="D18" s="207">
        <v>0</v>
      </c>
      <c r="E18" s="209">
        <v>3</v>
      </c>
      <c r="F18" s="202">
        <f t="shared" si="0"/>
        <v>0</v>
      </c>
      <c r="H18" s="207">
        <v>0</v>
      </c>
      <c r="J18" s="202">
        <v>0</v>
      </c>
      <c r="K18" s="202">
        <f t="shared" si="1"/>
        <v>0</v>
      </c>
      <c r="L18" s="204">
        <f t="shared" si="2"/>
        <v>0</v>
      </c>
      <c r="M18" s="196"/>
      <c r="P18" s="196"/>
    </row>
    <row r="19" spans="1:16" x14ac:dyDescent="0.25">
      <c r="A19" s="212" t="s">
        <v>102</v>
      </c>
      <c r="B19" s="207">
        <v>463125.85</v>
      </c>
      <c r="D19" s="207">
        <v>0</v>
      </c>
      <c r="E19" s="209">
        <v>3</v>
      </c>
      <c r="F19" s="202">
        <f t="shared" si="0"/>
        <v>463125.85</v>
      </c>
      <c r="H19" s="202">
        <v>31140</v>
      </c>
      <c r="J19" s="202">
        <v>3855258.14</v>
      </c>
      <c r="K19" s="202">
        <f t="shared" si="1"/>
        <v>4349523.99</v>
      </c>
      <c r="L19" s="204">
        <f t="shared" si="2"/>
        <v>4349523.99</v>
      </c>
      <c r="M19" s="196"/>
      <c r="P19" s="196"/>
    </row>
    <row r="20" spans="1:16" x14ac:dyDescent="0.25">
      <c r="A20" s="212" t="s">
        <v>103</v>
      </c>
      <c r="B20" s="207">
        <v>0</v>
      </c>
      <c r="D20" s="207">
        <v>0</v>
      </c>
      <c r="E20" s="209">
        <v>3</v>
      </c>
      <c r="F20" s="202">
        <f t="shared" si="0"/>
        <v>0</v>
      </c>
      <c r="H20" s="207">
        <v>0</v>
      </c>
      <c r="J20" s="202">
        <v>0</v>
      </c>
      <c r="K20" s="202">
        <f t="shared" si="1"/>
        <v>0</v>
      </c>
      <c r="L20" s="204">
        <f t="shared" si="2"/>
        <v>0</v>
      </c>
      <c r="M20" s="196"/>
      <c r="P20" s="196"/>
    </row>
    <row r="21" spans="1:16" x14ac:dyDescent="0.25">
      <c r="A21" s="205" t="s">
        <v>104</v>
      </c>
      <c r="B21" s="207">
        <v>21360</v>
      </c>
      <c r="D21" s="207">
        <v>0</v>
      </c>
      <c r="E21" s="206">
        <v>1</v>
      </c>
      <c r="F21" s="202">
        <f t="shared" si="0"/>
        <v>21360</v>
      </c>
      <c r="H21" s="202">
        <v>0</v>
      </c>
      <c r="J21" s="202">
        <v>7375330.1600000001</v>
      </c>
      <c r="K21" s="202">
        <f t="shared" si="1"/>
        <v>7396690.1600000001</v>
      </c>
      <c r="L21" s="204">
        <f t="shared" si="2"/>
        <v>7396690.1600000001</v>
      </c>
      <c r="M21" s="196"/>
      <c r="P21" s="196"/>
    </row>
    <row r="22" spans="1:16" x14ac:dyDescent="0.25">
      <c r="A22" s="212" t="s">
        <v>105</v>
      </c>
      <c r="B22" s="207">
        <v>0</v>
      </c>
      <c r="D22" s="207">
        <v>0</v>
      </c>
      <c r="E22" s="209">
        <v>3</v>
      </c>
      <c r="F22" s="202">
        <f t="shared" si="0"/>
        <v>0</v>
      </c>
      <c r="H22" s="207">
        <v>0</v>
      </c>
      <c r="J22" s="202">
        <v>0</v>
      </c>
      <c r="K22" s="202">
        <f t="shared" si="1"/>
        <v>0</v>
      </c>
      <c r="L22" s="204">
        <f t="shared" si="2"/>
        <v>0</v>
      </c>
      <c r="M22" s="196"/>
      <c r="P22" s="196"/>
    </row>
    <row r="23" spans="1:16" x14ac:dyDescent="0.25">
      <c r="A23" s="212" t="s">
        <v>106</v>
      </c>
      <c r="B23" s="207">
        <v>0</v>
      </c>
      <c r="D23" s="207">
        <v>0</v>
      </c>
      <c r="E23" s="209">
        <v>3</v>
      </c>
      <c r="F23" s="202">
        <f t="shared" si="0"/>
        <v>0</v>
      </c>
      <c r="H23" s="207">
        <v>0</v>
      </c>
      <c r="J23" s="202">
        <v>0</v>
      </c>
      <c r="K23" s="202">
        <f t="shared" si="1"/>
        <v>0</v>
      </c>
      <c r="L23" s="204">
        <f t="shared" si="2"/>
        <v>0</v>
      </c>
      <c r="M23" s="196"/>
      <c r="P23" s="196"/>
    </row>
    <row r="24" spans="1:16" x14ac:dyDescent="0.25">
      <c r="A24" s="212" t="s">
        <v>107</v>
      </c>
      <c r="B24" s="207">
        <v>0</v>
      </c>
      <c r="D24" s="207">
        <v>0</v>
      </c>
      <c r="E24" s="209">
        <v>3</v>
      </c>
      <c r="F24" s="202">
        <f t="shared" si="0"/>
        <v>0</v>
      </c>
      <c r="H24" s="207">
        <v>0</v>
      </c>
      <c r="J24" s="202">
        <v>0</v>
      </c>
      <c r="K24" s="202">
        <f t="shared" si="1"/>
        <v>0</v>
      </c>
      <c r="L24" s="204">
        <f t="shared" si="2"/>
        <v>0</v>
      </c>
      <c r="M24" s="196"/>
      <c r="P24" s="196"/>
    </row>
    <row r="25" spans="1:16" x14ac:dyDescent="0.25">
      <c r="A25" s="197" t="s">
        <v>108</v>
      </c>
      <c r="B25" s="207">
        <v>262490.2</v>
      </c>
      <c r="D25" s="207">
        <v>0</v>
      </c>
      <c r="E25" s="198">
        <v>2</v>
      </c>
      <c r="F25" s="202">
        <f t="shared" si="0"/>
        <v>262490.2</v>
      </c>
      <c r="H25" s="202">
        <v>7500</v>
      </c>
      <c r="J25" s="202">
        <v>1537910.05</v>
      </c>
      <c r="K25" s="202">
        <f t="shared" si="1"/>
        <v>1807900.25</v>
      </c>
      <c r="L25" s="204">
        <f t="shared" si="2"/>
        <v>1807900.25</v>
      </c>
      <c r="M25" s="196"/>
      <c r="P25" s="196"/>
    </row>
    <row r="26" spans="1:16" x14ac:dyDescent="0.25">
      <c r="A26" s="212" t="s">
        <v>260</v>
      </c>
      <c r="B26" s="207">
        <v>0</v>
      </c>
      <c r="D26" s="207">
        <v>0</v>
      </c>
      <c r="E26" s="209">
        <v>3</v>
      </c>
      <c r="F26" s="202">
        <f t="shared" si="0"/>
        <v>0</v>
      </c>
      <c r="H26" s="207">
        <v>0</v>
      </c>
      <c r="J26" s="202">
        <v>0</v>
      </c>
      <c r="K26" s="202">
        <f t="shared" si="1"/>
        <v>0</v>
      </c>
      <c r="L26" s="204">
        <f t="shared" si="2"/>
        <v>0</v>
      </c>
      <c r="M26" s="196"/>
      <c r="P26" s="196"/>
    </row>
    <row r="27" spans="1:16" x14ac:dyDescent="0.25">
      <c r="A27" s="332" t="s">
        <v>109</v>
      </c>
      <c r="B27" s="207">
        <v>16953.28</v>
      </c>
      <c r="D27" s="207">
        <v>0</v>
      </c>
      <c r="E27" s="199">
        <v>2</v>
      </c>
      <c r="F27" s="202">
        <f t="shared" si="0"/>
        <v>16953.28</v>
      </c>
      <c r="H27" s="207">
        <v>3042.99</v>
      </c>
      <c r="J27" s="202">
        <v>608457.98</v>
      </c>
      <c r="K27" s="202">
        <f t="shared" si="1"/>
        <v>628454.25</v>
      </c>
      <c r="L27" s="204">
        <f t="shared" si="2"/>
        <v>628454.25</v>
      </c>
      <c r="M27" s="196"/>
      <c r="P27" s="196"/>
    </row>
    <row r="28" spans="1:16" x14ac:dyDescent="0.25">
      <c r="A28" s="212" t="s">
        <v>110</v>
      </c>
      <c r="B28" s="207">
        <v>0</v>
      </c>
      <c r="D28" s="207">
        <v>0</v>
      </c>
      <c r="E28" s="209">
        <v>3</v>
      </c>
      <c r="F28" s="202">
        <f t="shared" si="0"/>
        <v>0</v>
      </c>
      <c r="H28" s="202">
        <f>88056.19-H165</f>
        <v>1419.8600000000006</v>
      </c>
      <c r="J28" s="202">
        <v>8264501.8200000003</v>
      </c>
      <c r="K28" s="202">
        <f t="shared" si="1"/>
        <v>8265921.6800000006</v>
      </c>
      <c r="L28" s="204">
        <f t="shared" si="2"/>
        <v>8265921.6800000006</v>
      </c>
      <c r="M28" s="196"/>
      <c r="P28" s="196"/>
    </row>
    <row r="29" spans="1:16" x14ac:dyDescent="0.25">
      <c r="A29" s="205" t="s">
        <v>111</v>
      </c>
      <c r="B29" s="207">
        <v>0</v>
      </c>
      <c r="D29" s="207">
        <v>0</v>
      </c>
      <c r="E29" s="206">
        <v>1</v>
      </c>
      <c r="F29" s="202">
        <f t="shared" si="0"/>
        <v>0</v>
      </c>
      <c r="H29" s="207">
        <v>0</v>
      </c>
      <c r="J29" s="202">
        <v>0</v>
      </c>
      <c r="K29" s="202">
        <f t="shared" si="1"/>
        <v>0</v>
      </c>
      <c r="L29" s="204">
        <f t="shared" si="2"/>
        <v>0</v>
      </c>
      <c r="M29" s="196"/>
      <c r="P29" s="196"/>
    </row>
    <row r="30" spans="1:16" x14ac:dyDescent="0.25">
      <c r="A30" s="212" t="s">
        <v>112</v>
      </c>
      <c r="B30" s="207">
        <v>17567.57</v>
      </c>
      <c r="D30" s="207">
        <v>0</v>
      </c>
      <c r="E30" s="209">
        <v>3</v>
      </c>
      <c r="F30" s="202">
        <f t="shared" si="0"/>
        <v>17567.57</v>
      </c>
      <c r="H30" s="202">
        <v>148469.91</v>
      </c>
      <c r="J30" s="202">
        <v>96567.67</v>
      </c>
      <c r="K30" s="202">
        <f t="shared" si="1"/>
        <v>262605.15000000002</v>
      </c>
      <c r="L30" s="204">
        <f t="shared" si="2"/>
        <v>262605.15000000002</v>
      </c>
      <c r="M30" s="196"/>
      <c r="P30" s="196"/>
    </row>
    <row r="31" spans="1:16" x14ac:dyDescent="0.25">
      <c r="A31" s="212" t="s">
        <v>261</v>
      </c>
      <c r="B31" s="207">
        <v>0</v>
      </c>
      <c r="D31" s="207">
        <v>0</v>
      </c>
      <c r="E31" s="209">
        <v>3</v>
      </c>
      <c r="F31" s="202">
        <f t="shared" si="0"/>
        <v>0</v>
      </c>
      <c r="H31" s="207">
        <v>0</v>
      </c>
      <c r="J31" s="202">
        <v>0</v>
      </c>
      <c r="K31" s="202">
        <f t="shared" si="1"/>
        <v>0</v>
      </c>
      <c r="L31" s="204">
        <f t="shared" si="2"/>
        <v>0</v>
      </c>
      <c r="M31" s="196"/>
      <c r="P31" s="196"/>
    </row>
    <row r="32" spans="1:16" x14ac:dyDescent="0.25">
      <c r="A32" s="197" t="s">
        <v>113</v>
      </c>
      <c r="B32" s="207">
        <v>0</v>
      </c>
      <c r="D32" s="207">
        <v>0</v>
      </c>
      <c r="E32" s="198">
        <v>2</v>
      </c>
      <c r="F32" s="202">
        <f t="shared" si="0"/>
        <v>0</v>
      </c>
      <c r="H32" s="207">
        <v>73856.23</v>
      </c>
      <c r="J32" s="202">
        <v>3115000.72</v>
      </c>
      <c r="K32" s="202">
        <f t="shared" si="1"/>
        <v>3188856.95</v>
      </c>
      <c r="L32" s="204">
        <f t="shared" si="2"/>
        <v>3188856.95</v>
      </c>
      <c r="M32" s="196"/>
      <c r="P32" s="196"/>
    </row>
    <row r="33" spans="1:16" x14ac:dyDescent="0.25">
      <c r="A33" s="212" t="s">
        <v>114</v>
      </c>
      <c r="B33" s="207">
        <v>0</v>
      </c>
      <c r="D33" s="207">
        <v>0</v>
      </c>
      <c r="E33" s="209">
        <v>3</v>
      </c>
      <c r="F33" s="202">
        <f t="shared" si="0"/>
        <v>0</v>
      </c>
      <c r="H33" s="207">
        <v>0</v>
      </c>
      <c r="J33" s="202">
        <v>0</v>
      </c>
      <c r="K33" s="202">
        <f t="shared" si="1"/>
        <v>0</v>
      </c>
      <c r="L33" s="204">
        <f t="shared" si="2"/>
        <v>0</v>
      </c>
      <c r="M33" s="196"/>
      <c r="P33" s="196"/>
    </row>
    <row r="34" spans="1:16" x14ac:dyDescent="0.25">
      <c r="A34" s="212" t="s">
        <v>115</v>
      </c>
      <c r="B34" s="207">
        <v>0</v>
      </c>
      <c r="D34" s="207">
        <v>0</v>
      </c>
      <c r="E34" s="209">
        <v>3</v>
      </c>
      <c r="F34" s="202">
        <f t="shared" si="0"/>
        <v>0</v>
      </c>
      <c r="H34" s="202">
        <v>0</v>
      </c>
      <c r="J34" s="202">
        <v>27849.15</v>
      </c>
      <c r="K34" s="202">
        <f t="shared" si="1"/>
        <v>27849.15</v>
      </c>
      <c r="L34" s="204">
        <f t="shared" si="2"/>
        <v>27849.15</v>
      </c>
      <c r="M34" s="196"/>
      <c r="P34" s="196"/>
    </row>
    <row r="35" spans="1:16" x14ac:dyDescent="0.25">
      <c r="A35" s="205" t="s">
        <v>116</v>
      </c>
      <c r="B35" s="207">
        <v>0</v>
      </c>
      <c r="D35" s="207">
        <v>0</v>
      </c>
      <c r="E35" s="206">
        <v>1</v>
      </c>
      <c r="F35" s="202">
        <f t="shared" ref="F35:F66" si="3">+B35+D35</f>
        <v>0</v>
      </c>
      <c r="H35" s="202">
        <v>33600</v>
      </c>
      <c r="J35" s="202">
        <v>254712</v>
      </c>
      <c r="K35" s="202">
        <f t="shared" ref="K35:K66" si="4">+J35+H35+F35</f>
        <v>288312</v>
      </c>
      <c r="L35" s="204">
        <f t="shared" ref="L35:L66" si="5">+K35</f>
        <v>288312</v>
      </c>
      <c r="M35" s="196"/>
      <c r="P35" s="196"/>
    </row>
    <row r="36" spans="1:16" x14ac:dyDescent="0.25">
      <c r="A36" s="212" t="s">
        <v>262</v>
      </c>
      <c r="B36" s="207">
        <v>0</v>
      </c>
      <c r="D36" s="207">
        <v>0</v>
      </c>
      <c r="E36" s="209">
        <v>3</v>
      </c>
      <c r="F36" s="202">
        <f t="shared" si="3"/>
        <v>0</v>
      </c>
      <c r="H36" s="207">
        <v>0</v>
      </c>
      <c r="J36" s="202">
        <v>33000</v>
      </c>
      <c r="K36" s="202">
        <f t="shared" si="4"/>
        <v>33000</v>
      </c>
      <c r="L36" s="204">
        <f t="shared" si="5"/>
        <v>33000</v>
      </c>
      <c r="M36" s="196"/>
      <c r="P36" s="196"/>
    </row>
    <row r="37" spans="1:16" x14ac:dyDescent="0.25">
      <c r="A37" s="205" t="s">
        <v>117</v>
      </c>
      <c r="B37" s="207">
        <v>101400</v>
      </c>
      <c r="D37" s="207">
        <v>0</v>
      </c>
      <c r="E37" s="206">
        <v>1</v>
      </c>
      <c r="F37" s="202">
        <f t="shared" si="3"/>
        <v>101400</v>
      </c>
      <c r="H37" s="202">
        <v>0</v>
      </c>
      <c r="J37" s="202">
        <v>0</v>
      </c>
      <c r="K37" s="202">
        <f t="shared" si="4"/>
        <v>101400</v>
      </c>
      <c r="L37" s="204">
        <f t="shared" si="5"/>
        <v>101400</v>
      </c>
      <c r="M37" s="196"/>
      <c r="P37" s="196"/>
    </row>
    <row r="38" spans="1:16" x14ac:dyDescent="0.25">
      <c r="A38" s="212" t="s">
        <v>118</v>
      </c>
      <c r="B38" s="207">
        <v>1411421.73</v>
      </c>
      <c r="D38" s="207">
        <v>0</v>
      </c>
      <c r="E38" s="209">
        <v>3</v>
      </c>
      <c r="F38" s="202">
        <f t="shared" si="3"/>
        <v>1411421.73</v>
      </c>
      <c r="H38" s="207">
        <v>333745.53999999998</v>
      </c>
      <c r="J38" s="202">
        <v>1299707.03</v>
      </c>
      <c r="K38" s="202">
        <f t="shared" si="4"/>
        <v>3044874.3</v>
      </c>
      <c r="L38" s="204">
        <f t="shared" si="5"/>
        <v>3044874.3</v>
      </c>
      <c r="M38" s="196"/>
      <c r="P38" s="196"/>
    </row>
    <row r="39" spans="1:16" x14ac:dyDescent="0.25">
      <c r="A39" s="212" t="s">
        <v>119</v>
      </c>
      <c r="B39" s="207">
        <v>46188.7</v>
      </c>
      <c r="D39" s="207">
        <v>0</v>
      </c>
      <c r="E39" s="209">
        <v>3</v>
      </c>
      <c r="F39" s="202">
        <f t="shared" si="3"/>
        <v>46188.7</v>
      </c>
      <c r="H39" s="207">
        <v>0</v>
      </c>
      <c r="J39" s="202">
        <v>16249.4</v>
      </c>
      <c r="K39" s="202">
        <f t="shared" si="4"/>
        <v>62438.1</v>
      </c>
      <c r="L39" s="204">
        <f t="shared" si="5"/>
        <v>62438.1</v>
      </c>
      <c r="M39" s="196"/>
      <c r="P39" s="196"/>
    </row>
    <row r="40" spans="1:16" x14ac:dyDescent="0.25">
      <c r="A40" s="197" t="s">
        <v>120</v>
      </c>
      <c r="B40" s="207">
        <v>225815.22</v>
      </c>
      <c r="D40" s="207">
        <v>0</v>
      </c>
      <c r="E40" s="198">
        <v>2</v>
      </c>
      <c r="F40" s="202">
        <f t="shared" si="3"/>
        <v>225815.22</v>
      </c>
      <c r="H40" s="202">
        <v>1662789.08</v>
      </c>
      <c r="J40" s="202">
        <v>10045661.34</v>
      </c>
      <c r="K40" s="202">
        <f t="shared" si="4"/>
        <v>11934265.640000001</v>
      </c>
      <c r="L40" s="204">
        <f t="shared" si="5"/>
        <v>11934265.640000001</v>
      </c>
      <c r="M40" s="196"/>
      <c r="P40" s="196"/>
    </row>
    <row r="41" spans="1:16" x14ac:dyDescent="0.25">
      <c r="A41" s="212" t="s">
        <v>121</v>
      </c>
      <c r="B41" s="207">
        <v>135326.70000000001</v>
      </c>
      <c r="D41" s="207">
        <v>0</v>
      </c>
      <c r="E41" s="209">
        <v>3</v>
      </c>
      <c r="F41" s="202">
        <f t="shared" si="3"/>
        <v>135326.70000000001</v>
      </c>
      <c r="H41" s="202">
        <v>963656.52</v>
      </c>
      <c r="J41" s="202">
        <v>57695.92</v>
      </c>
      <c r="K41" s="202">
        <f t="shared" si="4"/>
        <v>1156679.1400000001</v>
      </c>
      <c r="L41" s="204">
        <f t="shared" si="5"/>
        <v>1156679.1400000001</v>
      </c>
      <c r="M41" s="196"/>
      <c r="P41" s="196"/>
    </row>
    <row r="42" spans="1:16" x14ac:dyDescent="0.25">
      <c r="A42" s="212" t="s">
        <v>122</v>
      </c>
      <c r="B42" s="207">
        <v>0</v>
      </c>
      <c r="D42" s="207">
        <v>0</v>
      </c>
      <c r="E42" s="209">
        <v>3</v>
      </c>
      <c r="F42" s="202">
        <f t="shared" si="3"/>
        <v>0</v>
      </c>
      <c r="H42" s="202">
        <v>229574.8</v>
      </c>
      <c r="J42" s="202">
        <v>0</v>
      </c>
      <c r="K42" s="202">
        <f t="shared" si="4"/>
        <v>229574.8</v>
      </c>
      <c r="L42" s="204">
        <f t="shared" si="5"/>
        <v>229574.8</v>
      </c>
      <c r="M42" s="196"/>
      <c r="P42" s="196"/>
    </row>
    <row r="43" spans="1:16" x14ac:dyDescent="0.25">
      <c r="A43" s="212" t="s">
        <v>263</v>
      </c>
      <c r="B43" s="207">
        <v>0</v>
      </c>
      <c r="D43" s="207">
        <v>0</v>
      </c>
      <c r="E43" s="209">
        <v>3</v>
      </c>
      <c r="F43" s="202">
        <f t="shared" si="3"/>
        <v>0</v>
      </c>
      <c r="H43" s="202">
        <v>0</v>
      </c>
      <c r="J43" s="202">
        <v>0</v>
      </c>
      <c r="K43" s="202">
        <f t="shared" si="4"/>
        <v>0</v>
      </c>
      <c r="L43" s="204">
        <f t="shared" si="5"/>
        <v>0</v>
      </c>
      <c r="M43" s="196"/>
      <c r="P43" s="196"/>
    </row>
    <row r="44" spans="1:16" x14ac:dyDescent="0.25">
      <c r="A44" s="205" t="s">
        <v>123</v>
      </c>
      <c r="B44" s="207">
        <v>613440</v>
      </c>
      <c r="D44" s="207">
        <v>0</v>
      </c>
      <c r="E44" s="206">
        <v>1</v>
      </c>
      <c r="F44" s="202">
        <f t="shared" si="3"/>
        <v>613440</v>
      </c>
      <c r="H44" s="207">
        <v>0</v>
      </c>
      <c r="J44" s="202">
        <v>353375</v>
      </c>
      <c r="K44" s="202">
        <f t="shared" si="4"/>
        <v>966815</v>
      </c>
      <c r="L44" s="204">
        <f t="shared" si="5"/>
        <v>966815</v>
      </c>
      <c r="M44" s="196"/>
      <c r="P44" s="196"/>
    </row>
    <row r="45" spans="1:16" x14ac:dyDescent="0.25">
      <c r="A45" s="205" t="s">
        <v>264</v>
      </c>
      <c r="B45" s="207">
        <v>0</v>
      </c>
      <c r="D45" s="207">
        <v>0</v>
      </c>
      <c r="E45" s="206">
        <v>1</v>
      </c>
      <c r="F45" s="202">
        <f t="shared" si="3"/>
        <v>0</v>
      </c>
      <c r="H45" s="207">
        <v>0</v>
      </c>
      <c r="J45" s="202">
        <v>228424.88</v>
      </c>
      <c r="K45" s="202">
        <f t="shared" si="4"/>
        <v>228424.88</v>
      </c>
      <c r="L45" s="204">
        <f t="shared" si="5"/>
        <v>228424.88</v>
      </c>
      <c r="M45" s="196"/>
      <c r="P45" s="196"/>
    </row>
    <row r="46" spans="1:16" x14ac:dyDescent="0.25">
      <c r="A46" s="205" t="s">
        <v>124</v>
      </c>
      <c r="B46" s="207">
        <f>203852441.44-B163</f>
        <v>171590086.88999999</v>
      </c>
      <c r="D46" s="207">
        <f>92388177.72+79979.96+1677.88</f>
        <v>92469835.559999987</v>
      </c>
      <c r="E46" s="206">
        <v>1</v>
      </c>
      <c r="F46" s="202">
        <f t="shared" si="3"/>
        <v>264059922.44999999</v>
      </c>
      <c r="H46" s="202">
        <v>4538671.8499999996</v>
      </c>
      <c r="J46" s="207">
        <f>68323487.24-J163</f>
        <v>68277398.739999995</v>
      </c>
      <c r="K46" s="202">
        <f t="shared" si="4"/>
        <v>336875993.03999996</v>
      </c>
      <c r="L46" s="204">
        <f t="shared" si="5"/>
        <v>336875993.03999996</v>
      </c>
      <c r="M46" s="196"/>
      <c r="P46" s="196"/>
    </row>
    <row r="47" spans="1:16" x14ac:dyDescent="0.25">
      <c r="A47" s="212" t="s">
        <v>125</v>
      </c>
      <c r="B47" s="207">
        <v>0</v>
      </c>
      <c r="D47" s="207">
        <v>0</v>
      </c>
      <c r="E47" s="209">
        <v>3</v>
      </c>
      <c r="F47" s="202">
        <f t="shared" si="3"/>
        <v>0</v>
      </c>
      <c r="H47" s="207">
        <v>0</v>
      </c>
      <c r="J47" s="202">
        <v>0</v>
      </c>
      <c r="K47" s="202">
        <f t="shared" si="4"/>
        <v>0</v>
      </c>
      <c r="L47" s="204">
        <f t="shared" si="5"/>
        <v>0</v>
      </c>
      <c r="M47" s="196"/>
      <c r="P47" s="196"/>
    </row>
    <row r="48" spans="1:16" x14ac:dyDescent="0.25">
      <c r="A48" s="212" t="s">
        <v>126</v>
      </c>
      <c r="B48" s="207">
        <v>0</v>
      </c>
      <c r="D48" s="207">
        <v>0</v>
      </c>
      <c r="E48" s="209">
        <v>3</v>
      </c>
      <c r="F48" s="202">
        <f t="shared" si="3"/>
        <v>0</v>
      </c>
      <c r="H48" s="202">
        <v>129015.9</v>
      </c>
      <c r="J48" s="202">
        <v>4261698.95</v>
      </c>
      <c r="K48" s="202">
        <f t="shared" si="4"/>
        <v>4390714.8500000006</v>
      </c>
      <c r="L48" s="204">
        <f t="shared" si="5"/>
        <v>4390714.8500000006</v>
      </c>
      <c r="M48" s="196"/>
      <c r="P48" s="196"/>
    </row>
    <row r="49" spans="1:16" x14ac:dyDescent="0.25">
      <c r="A49" s="212" t="s">
        <v>127</v>
      </c>
      <c r="B49" s="207">
        <v>0</v>
      </c>
      <c r="D49" s="207">
        <v>0</v>
      </c>
      <c r="E49" s="209">
        <v>3</v>
      </c>
      <c r="F49" s="202">
        <f t="shared" si="3"/>
        <v>0</v>
      </c>
      <c r="H49" s="202">
        <v>91575.21</v>
      </c>
      <c r="J49" s="202">
        <v>0</v>
      </c>
      <c r="K49" s="202">
        <f t="shared" si="4"/>
        <v>91575.21</v>
      </c>
      <c r="L49" s="204">
        <f t="shared" si="5"/>
        <v>91575.21</v>
      </c>
      <c r="M49" s="196"/>
      <c r="P49" s="196"/>
    </row>
    <row r="50" spans="1:16" x14ac:dyDescent="0.25">
      <c r="A50" s="205" t="s">
        <v>128</v>
      </c>
      <c r="B50" s="207">
        <v>21348</v>
      </c>
      <c r="D50" s="207">
        <v>0</v>
      </c>
      <c r="E50" s="206">
        <v>1</v>
      </c>
      <c r="F50" s="202">
        <f t="shared" si="3"/>
        <v>21348</v>
      </c>
      <c r="H50" s="202">
        <v>0</v>
      </c>
      <c r="J50" s="202">
        <v>0</v>
      </c>
      <c r="K50" s="202">
        <f t="shared" si="4"/>
        <v>21348</v>
      </c>
      <c r="L50" s="204">
        <f t="shared" si="5"/>
        <v>21348</v>
      </c>
      <c r="M50" s="196"/>
      <c r="P50" s="196"/>
    </row>
    <row r="51" spans="1:16" x14ac:dyDescent="0.25">
      <c r="A51" s="205" t="s">
        <v>129</v>
      </c>
      <c r="B51" s="207">
        <v>30685945.059999999</v>
      </c>
      <c r="D51" s="207">
        <v>15790245.960000001</v>
      </c>
      <c r="E51" s="206">
        <v>1</v>
      </c>
      <c r="F51" s="202">
        <f t="shared" si="3"/>
        <v>46476191.019999996</v>
      </c>
      <c r="H51" s="202">
        <v>2441276.85</v>
      </c>
      <c r="J51" s="202">
        <f>14395725.99-J164</f>
        <v>14394158.99</v>
      </c>
      <c r="K51" s="202">
        <f t="shared" si="4"/>
        <v>63311626.859999999</v>
      </c>
      <c r="L51" s="204">
        <f t="shared" si="5"/>
        <v>63311626.859999999</v>
      </c>
      <c r="M51" s="196"/>
      <c r="P51" s="196"/>
    </row>
    <row r="52" spans="1:16" x14ac:dyDescent="0.25">
      <c r="A52" s="212" t="s">
        <v>265</v>
      </c>
      <c r="B52" s="207">
        <v>0</v>
      </c>
      <c r="D52" s="207">
        <v>0</v>
      </c>
      <c r="E52" s="209">
        <v>3</v>
      </c>
      <c r="F52" s="202">
        <f t="shared" si="3"/>
        <v>0</v>
      </c>
      <c r="H52" s="207">
        <v>0</v>
      </c>
      <c r="J52" s="202">
        <v>0</v>
      </c>
      <c r="K52" s="202">
        <f t="shared" si="4"/>
        <v>0</v>
      </c>
      <c r="L52" s="204">
        <f t="shared" si="5"/>
        <v>0</v>
      </c>
      <c r="M52" s="196"/>
      <c r="P52" s="196"/>
    </row>
    <row r="53" spans="1:16" x14ac:dyDescent="0.25">
      <c r="A53" s="212" t="s">
        <v>266</v>
      </c>
      <c r="B53" s="207">
        <v>0</v>
      </c>
      <c r="D53" s="207">
        <v>0</v>
      </c>
      <c r="E53" s="209">
        <v>3</v>
      </c>
      <c r="F53" s="202">
        <f t="shared" si="3"/>
        <v>0</v>
      </c>
      <c r="H53" s="207">
        <v>0</v>
      </c>
      <c r="J53" s="202">
        <v>0</v>
      </c>
      <c r="K53" s="202">
        <f t="shared" si="4"/>
        <v>0</v>
      </c>
      <c r="L53" s="204">
        <f t="shared" si="5"/>
        <v>0</v>
      </c>
      <c r="M53" s="196"/>
      <c r="P53" s="196"/>
    </row>
    <row r="54" spans="1:16" x14ac:dyDescent="0.25">
      <c r="A54" s="212" t="s">
        <v>130</v>
      </c>
      <c r="B54" s="207">
        <v>0</v>
      </c>
      <c r="D54" s="207">
        <v>0</v>
      </c>
      <c r="E54" s="209">
        <v>3</v>
      </c>
      <c r="F54" s="202">
        <f t="shared" si="3"/>
        <v>0</v>
      </c>
      <c r="H54" s="207">
        <v>0</v>
      </c>
      <c r="J54" s="202">
        <v>0</v>
      </c>
      <c r="K54" s="202">
        <f t="shared" si="4"/>
        <v>0</v>
      </c>
      <c r="L54" s="204">
        <f t="shared" si="5"/>
        <v>0</v>
      </c>
      <c r="M54" s="196"/>
      <c r="P54" s="196"/>
    </row>
    <row r="55" spans="1:16" x14ac:dyDescent="0.25">
      <c r="A55" s="205" t="s">
        <v>131</v>
      </c>
      <c r="B55" s="207">
        <v>1233433.54</v>
      </c>
      <c r="D55" s="207">
        <v>1096390.1200000001</v>
      </c>
      <c r="E55" s="206">
        <v>1</v>
      </c>
      <c r="F55" s="202">
        <f t="shared" si="3"/>
        <v>2329823.66</v>
      </c>
      <c r="H55" s="202">
        <v>185850</v>
      </c>
      <c r="J55" s="202">
        <v>290127</v>
      </c>
      <c r="K55" s="202">
        <f t="shared" si="4"/>
        <v>2805800.66</v>
      </c>
      <c r="L55" s="204">
        <f t="shared" si="5"/>
        <v>2805800.66</v>
      </c>
      <c r="M55" s="196"/>
      <c r="P55" s="196"/>
    </row>
    <row r="56" spans="1:16" x14ac:dyDescent="0.25">
      <c r="A56" s="212" t="s">
        <v>132</v>
      </c>
      <c r="B56" s="207">
        <v>0</v>
      </c>
      <c r="D56" s="207">
        <v>0</v>
      </c>
      <c r="E56" s="209">
        <v>3</v>
      </c>
      <c r="F56" s="202">
        <f t="shared" si="3"/>
        <v>0</v>
      </c>
      <c r="H56" s="202">
        <v>24073.85</v>
      </c>
      <c r="J56" s="202">
        <v>0</v>
      </c>
      <c r="K56" s="202">
        <f t="shared" si="4"/>
        <v>24073.85</v>
      </c>
      <c r="L56" s="204">
        <f t="shared" si="5"/>
        <v>24073.85</v>
      </c>
      <c r="M56" s="196"/>
      <c r="P56" s="196"/>
    </row>
    <row r="57" spans="1:16" x14ac:dyDescent="0.25">
      <c r="A57" s="212" t="s">
        <v>267</v>
      </c>
      <c r="B57" s="207">
        <v>21000</v>
      </c>
      <c r="D57" s="207">
        <v>0</v>
      </c>
      <c r="E57" s="209">
        <v>3</v>
      </c>
      <c r="F57" s="202">
        <f t="shared" si="3"/>
        <v>21000</v>
      </c>
      <c r="H57" s="207">
        <v>0</v>
      </c>
      <c r="J57" s="202">
        <v>0</v>
      </c>
      <c r="K57" s="202">
        <f t="shared" si="4"/>
        <v>21000</v>
      </c>
      <c r="L57" s="204">
        <f t="shared" si="5"/>
        <v>21000</v>
      </c>
      <c r="M57" s="196"/>
      <c r="P57" s="196"/>
    </row>
    <row r="58" spans="1:16" x14ac:dyDescent="0.25">
      <c r="A58" s="212" t="s">
        <v>133</v>
      </c>
      <c r="B58" s="207">
        <v>0</v>
      </c>
      <c r="D58" s="207">
        <v>0</v>
      </c>
      <c r="E58" s="209">
        <v>3</v>
      </c>
      <c r="F58" s="202">
        <f t="shared" si="3"/>
        <v>0</v>
      </c>
      <c r="H58" s="207">
        <v>0</v>
      </c>
      <c r="J58" s="202">
        <v>0</v>
      </c>
      <c r="K58" s="202">
        <f t="shared" si="4"/>
        <v>0</v>
      </c>
      <c r="L58" s="204">
        <f t="shared" si="5"/>
        <v>0</v>
      </c>
      <c r="M58" s="196"/>
      <c r="P58" s="196"/>
    </row>
    <row r="59" spans="1:16" x14ac:dyDescent="0.25">
      <c r="A59" s="212" t="s">
        <v>268</v>
      </c>
      <c r="B59" s="207">
        <v>0</v>
      </c>
      <c r="D59" s="207">
        <v>0</v>
      </c>
      <c r="E59" s="209">
        <v>3</v>
      </c>
      <c r="F59" s="202">
        <f t="shared" si="3"/>
        <v>0</v>
      </c>
      <c r="H59" s="207">
        <v>0</v>
      </c>
      <c r="J59" s="202">
        <v>0</v>
      </c>
      <c r="K59" s="202">
        <f t="shared" si="4"/>
        <v>0</v>
      </c>
      <c r="L59" s="204">
        <f t="shared" si="5"/>
        <v>0</v>
      </c>
      <c r="M59" s="196"/>
      <c r="P59" s="196"/>
    </row>
    <row r="60" spans="1:16" x14ac:dyDescent="0.25">
      <c r="A60" s="212" t="s">
        <v>134</v>
      </c>
      <c r="B60" s="207">
        <v>0</v>
      </c>
      <c r="D60" s="207">
        <v>0</v>
      </c>
      <c r="E60" s="209">
        <v>3</v>
      </c>
      <c r="F60" s="202">
        <f t="shared" si="3"/>
        <v>0</v>
      </c>
      <c r="H60" s="207">
        <v>0</v>
      </c>
      <c r="J60" s="202">
        <v>0</v>
      </c>
      <c r="K60" s="202">
        <f t="shared" si="4"/>
        <v>0</v>
      </c>
      <c r="L60" s="204">
        <f t="shared" si="5"/>
        <v>0</v>
      </c>
      <c r="M60" s="196"/>
      <c r="P60" s="196"/>
    </row>
    <row r="61" spans="1:16" x14ac:dyDescent="0.25">
      <c r="A61" s="212" t="s">
        <v>269</v>
      </c>
      <c r="B61" s="207">
        <v>0</v>
      </c>
      <c r="D61" s="207">
        <v>0</v>
      </c>
      <c r="E61" s="209">
        <v>3</v>
      </c>
      <c r="F61" s="202">
        <f t="shared" si="3"/>
        <v>0</v>
      </c>
      <c r="H61" s="207">
        <v>0</v>
      </c>
      <c r="J61" s="202">
        <v>0</v>
      </c>
      <c r="K61" s="202">
        <f t="shared" si="4"/>
        <v>0</v>
      </c>
      <c r="L61" s="204">
        <f t="shared" si="5"/>
        <v>0</v>
      </c>
      <c r="M61" s="196"/>
      <c r="P61" s="196"/>
    </row>
    <row r="62" spans="1:16" x14ac:dyDescent="0.25">
      <c r="A62" s="212" t="s">
        <v>135</v>
      </c>
      <c r="B62" s="207">
        <v>79173.58</v>
      </c>
      <c r="D62" s="207">
        <v>0</v>
      </c>
      <c r="E62" s="209">
        <v>3</v>
      </c>
      <c r="F62" s="202">
        <f t="shared" si="3"/>
        <v>79173.58</v>
      </c>
      <c r="H62" s="202">
        <v>1586330.88</v>
      </c>
      <c r="J62" s="202">
        <v>0</v>
      </c>
      <c r="K62" s="202">
        <f t="shared" si="4"/>
        <v>1665504.46</v>
      </c>
      <c r="L62" s="204">
        <f t="shared" si="5"/>
        <v>1665504.46</v>
      </c>
      <c r="M62" s="196"/>
      <c r="P62" s="196"/>
    </row>
    <row r="63" spans="1:16" x14ac:dyDescent="0.25">
      <c r="A63" s="205" t="s">
        <v>136</v>
      </c>
      <c r="B63" s="207">
        <v>0</v>
      </c>
      <c r="D63" s="207">
        <v>0</v>
      </c>
      <c r="E63" s="206">
        <v>1</v>
      </c>
      <c r="F63" s="202">
        <f t="shared" si="3"/>
        <v>0</v>
      </c>
      <c r="H63" s="202">
        <v>0</v>
      </c>
      <c r="J63" s="202">
        <v>0</v>
      </c>
      <c r="K63" s="202">
        <f t="shared" si="4"/>
        <v>0</v>
      </c>
      <c r="L63" s="204">
        <f t="shared" si="5"/>
        <v>0</v>
      </c>
      <c r="M63" s="196"/>
      <c r="P63" s="196"/>
    </row>
    <row r="64" spans="1:16" x14ac:dyDescent="0.25">
      <c r="A64" s="205" t="s">
        <v>137</v>
      </c>
      <c r="B64" s="207">
        <v>94962</v>
      </c>
      <c r="D64" s="207">
        <v>0</v>
      </c>
      <c r="E64" s="206">
        <v>1</v>
      </c>
      <c r="F64" s="202">
        <f t="shared" si="3"/>
        <v>94962</v>
      </c>
      <c r="H64" s="207">
        <v>0</v>
      </c>
      <c r="J64" s="202">
        <v>972013.1</v>
      </c>
      <c r="K64" s="202">
        <f t="shared" si="4"/>
        <v>1066975.1000000001</v>
      </c>
      <c r="L64" s="204">
        <f t="shared" si="5"/>
        <v>1066975.1000000001</v>
      </c>
      <c r="M64" s="196"/>
      <c r="P64" s="196"/>
    </row>
    <row r="65" spans="1:16" x14ac:dyDescent="0.25">
      <c r="A65" s="212" t="s">
        <v>138</v>
      </c>
      <c r="B65" s="207">
        <v>0</v>
      </c>
      <c r="D65" s="207">
        <v>0</v>
      </c>
      <c r="E65" s="209">
        <v>3</v>
      </c>
      <c r="F65" s="202">
        <f t="shared" si="3"/>
        <v>0</v>
      </c>
      <c r="H65" s="202">
        <v>352091.47</v>
      </c>
      <c r="J65" s="202">
        <v>1457946.57</v>
      </c>
      <c r="K65" s="202">
        <f t="shared" si="4"/>
        <v>1810038.04</v>
      </c>
      <c r="L65" s="204">
        <f t="shared" si="5"/>
        <v>1810038.04</v>
      </c>
      <c r="M65" s="196"/>
      <c r="P65" s="196"/>
    </row>
    <row r="66" spans="1:16" x14ac:dyDescent="0.25">
      <c r="A66" s="212" t="s">
        <v>139</v>
      </c>
      <c r="B66" s="207">
        <v>59462.94</v>
      </c>
      <c r="D66" s="207">
        <v>0</v>
      </c>
      <c r="E66" s="209">
        <v>3</v>
      </c>
      <c r="F66" s="202">
        <f t="shared" si="3"/>
        <v>59462.94</v>
      </c>
      <c r="H66" s="202">
        <v>6666205.3600000003</v>
      </c>
      <c r="J66" s="202">
        <v>9598889.0999999996</v>
      </c>
      <c r="K66" s="202">
        <f t="shared" si="4"/>
        <v>16324557.4</v>
      </c>
      <c r="L66" s="204">
        <f t="shared" si="5"/>
        <v>16324557.4</v>
      </c>
      <c r="M66" s="196"/>
      <c r="P66" s="196"/>
    </row>
    <row r="67" spans="1:16" x14ac:dyDescent="0.25">
      <c r="A67" s="212" t="s">
        <v>140</v>
      </c>
      <c r="B67" s="207">
        <v>0</v>
      </c>
      <c r="D67" s="207">
        <v>0</v>
      </c>
      <c r="E67" s="209">
        <v>3</v>
      </c>
      <c r="F67" s="202">
        <f t="shared" ref="F67:F98" si="6">+B67+D67</f>
        <v>0</v>
      </c>
      <c r="H67" s="202">
        <v>0</v>
      </c>
      <c r="J67" s="202">
        <v>234617.67</v>
      </c>
      <c r="K67" s="202">
        <f t="shared" ref="K67:K98" si="7">+J67+H67+F67</f>
        <v>234617.67</v>
      </c>
      <c r="L67" s="204">
        <f t="shared" ref="L67:L98" si="8">+K67</f>
        <v>234617.67</v>
      </c>
      <c r="M67" s="196"/>
      <c r="P67" s="196"/>
    </row>
    <row r="68" spans="1:16" x14ac:dyDescent="0.25">
      <c r="A68" s="212" t="s">
        <v>270</v>
      </c>
      <c r="B68" s="207">
        <v>0</v>
      </c>
      <c r="D68" s="207">
        <v>0</v>
      </c>
      <c r="E68" s="209">
        <v>3</v>
      </c>
      <c r="F68" s="202">
        <f t="shared" si="6"/>
        <v>0</v>
      </c>
      <c r="H68" s="202">
        <v>88750</v>
      </c>
      <c r="J68" s="202">
        <v>0</v>
      </c>
      <c r="K68" s="202">
        <f t="shared" si="7"/>
        <v>88750</v>
      </c>
      <c r="L68" s="204">
        <f t="shared" si="8"/>
        <v>88750</v>
      </c>
      <c r="M68" s="196"/>
      <c r="P68" s="196"/>
    </row>
    <row r="69" spans="1:16" x14ac:dyDescent="0.25">
      <c r="A69" s="205" t="s">
        <v>141</v>
      </c>
      <c r="B69" s="207">
        <v>44198</v>
      </c>
      <c r="D69" s="207">
        <v>0</v>
      </c>
      <c r="E69" s="206">
        <v>1</v>
      </c>
      <c r="F69" s="202">
        <f t="shared" si="6"/>
        <v>44198</v>
      </c>
      <c r="H69" s="202">
        <v>38025</v>
      </c>
      <c r="J69" s="202">
        <v>1480965.49</v>
      </c>
      <c r="K69" s="202">
        <f t="shared" si="7"/>
        <v>1563188.49</v>
      </c>
      <c r="L69" s="204">
        <f t="shared" si="8"/>
        <v>1563188.49</v>
      </c>
      <c r="M69" s="196"/>
      <c r="P69" s="196"/>
    </row>
    <row r="70" spans="1:16" x14ac:dyDescent="0.25">
      <c r="A70" s="210" t="s">
        <v>271</v>
      </c>
      <c r="B70" s="207">
        <v>0</v>
      </c>
      <c r="D70" s="207">
        <v>0</v>
      </c>
      <c r="E70" s="211">
        <v>3</v>
      </c>
      <c r="F70" s="202">
        <f t="shared" si="6"/>
        <v>0</v>
      </c>
      <c r="H70" s="207">
        <v>0</v>
      </c>
      <c r="J70" s="202">
        <v>0</v>
      </c>
      <c r="K70" s="202">
        <f t="shared" si="7"/>
        <v>0</v>
      </c>
      <c r="L70" s="204">
        <f t="shared" si="8"/>
        <v>0</v>
      </c>
      <c r="M70" s="196"/>
      <c r="P70" s="196"/>
    </row>
    <row r="71" spans="1:16" x14ac:dyDescent="0.25">
      <c r="A71" s="197" t="s">
        <v>272</v>
      </c>
      <c r="B71" s="207">
        <v>0</v>
      </c>
      <c r="D71" s="207">
        <v>0</v>
      </c>
      <c r="E71" s="198">
        <v>2</v>
      </c>
      <c r="F71" s="202">
        <f t="shared" si="6"/>
        <v>0</v>
      </c>
      <c r="H71" s="207">
        <v>0</v>
      </c>
      <c r="J71" s="202">
        <v>0</v>
      </c>
      <c r="K71" s="202">
        <f t="shared" si="7"/>
        <v>0</v>
      </c>
      <c r="L71" s="204">
        <f t="shared" si="8"/>
        <v>0</v>
      </c>
      <c r="M71" s="196"/>
      <c r="P71" s="196"/>
    </row>
    <row r="72" spans="1:16" x14ac:dyDescent="0.25">
      <c r="A72" s="210" t="s">
        <v>273</v>
      </c>
      <c r="B72" s="207">
        <v>0</v>
      </c>
      <c r="D72" s="207">
        <v>0</v>
      </c>
      <c r="E72" s="211">
        <v>3</v>
      </c>
      <c r="F72" s="202">
        <f t="shared" si="6"/>
        <v>0</v>
      </c>
      <c r="H72" s="207">
        <v>0</v>
      </c>
      <c r="J72" s="202">
        <v>0</v>
      </c>
      <c r="K72" s="202">
        <f t="shared" si="7"/>
        <v>0</v>
      </c>
      <c r="L72" s="204">
        <f t="shared" si="8"/>
        <v>0</v>
      </c>
      <c r="M72" s="196"/>
      <c r="P72" s="196"/>
    </row>
    <row r="73" spans="1:16" x14ac:dyDescent="0.25">
      <c r="A73" s="333" t="s">
        <v>142</v>
      </c>
      <c r="B73" s="207">
        <v>101266.98</v>
      </c>
      <c r="D73" s="207">
        <v>0</v>
      </c>
      <c r="E73" s="334">
        <v>2</v>
      </c>
      <c r="F73" s="202">
        <f t="shared" si="6"/>
        <v>101266.98</v>
      </c>
      <c r="H73" s="202">
        <v>68078.789999999994</v>
      </c>
      <c r="J73" s="202">
        <v>522900.27</v>
      </c>
      <c r="K73" s="202">
        <f t="shared" si="7"/>
        <v>692246.04</v>
      </c>
      <c r="L73" s="204">
        <f t="shared" si="8"/>
        <v>692246.04</v>
      </c>
      <c r="M73" s="196"/>
      <c r="P73" s="196"/>
    </row>
    <row r="74" spans="1:16" x14ac:dyDescent="0.25">
      <c r="A74" s="205" t="s">
        <v>143</v>
      </c>
      <c r="B74" s="207">
        <v>10123184.5</v>
      </c>
      <c r="D74" s="207">
        <v>11693266.470000001</v>
      </c>
      <c r="E74" s="206">
        <v>1</v>
      </c>
      <c r="F74" s="202">
        <f t="shared" si="6"/>
        <v>21816450.969999999</v>
      </c>
      <c r="H74" s="202">
        <v>7969162.2800000003</v>
      </c>
      <c r="J74" s="202">
        <v>3254281.14</v>
      </c>
      <c r="K74" s="202">
        <f t="shared" si="7"/>
        <v>33039894.390000001</v>
      </c>
      <c r="L74" s="204">
        <f t="shared" si="8"/>
        <v>33039894.390000001</v>
      </c>
      <c r="M74" s="196"/>
      <c r="P74" s="196"/>
    </row>
    <row r="75" spans="1:16" x14ac:dyDescent="0.25">
      <c r="A75" s="210" t="s">
        <v>144</v>
      </c>
      <c r="B75" s="207">
        <v>0</v>
      </c>
      <c r="D75" s="207">
        <v>0</v>
      </c>
      <c r="E75" s="199">
        <v>3</v>
      </c>
      <c r="F75" s="202">
        <f t="shared" si="6"/>
        <v>0</v>
      </c>
      <c r="H75" s="207">
        <v>0</v>
      </c>
      <c r="J75" s="202">
        <v>0</v>
      </c>
      <c r="K75" s="202">
        <f t="shared" si="7"/>
        <v>0</v>
      </c>
      <c r="L75" s="204">
        <f t="shared" si="8"/>
        <v>0</v>
      </c>
      <c r="M75" s="196"/>
      <c r="P75" s="196"/>
    </row>
    <row r="76" spans="1:16" x14ac:dyDescent="0.25">
      <c r="A76" s="197" t="s">
        <v>145</v>
      </c>
      <c r="B76" s="207">
        <v>0</v>
      </c>
      <c r="D76" s="207">
        <v>0</v>
      </c>
      <c r="E76" s="198">
        <v>2</v>
      </c>
      <c r="F76" s="202">
        <f t="shared" si="6"/>
        <v>0</v>
      </c>
      <c r="H76" s="202">
        <v>3033320</v>
      </c>
      <c r="J76" s="202">
        <v>1594485.15</v>
      </c>
      <c r="K76" s="202">
        <f t="shared" si="7"/>
        <v>4627805.1500000004</v>
      </c>
      <c r="L76" s="204">
        <f t="shared" si="8"/>
        <v>4627805.1500000004</v>
      </c>
      <c r="M76" s="196"/>
      <c r="P76" s="196"/>
    </row>
    <row r="77" spans="1:16" x14ac:dyDescent="0.25">
      <c r="A77" s="212" t="s">
        <v>146</v>
      </c>
      <c r="B77" s="207">
        <v>14800</v>
      </c>
      <c r="D77" s="207">
        <v>0</v>
      </c>
      <c r="E77" s="209">
        <v>3</v>
      </c>
      <c r="F77" s="202">
        <f t="shared" si="6"/>
        <v>14800</v>
      </c>
      <c r="H77" s="202">
        <v>1601783.4</v>
      </c>
      <c r="J77" s="202">
        <v>156147.49</v>
      </c>
      <c r="K77" s="202">
        <f t="shared" si="7"/>
        <v>1772730.89</v>
      </c>
      <c r="L77" s="204">
        <f t="shared" si="8"/>
        <v>1772730.89</v>
      </c>
      <c r="M77" s="196"/>
      <c r="P77" s="196"/>
    </row>
    <row r="78" spans="1:16" x14ac:dyDescent="0.25">
      <c r="A78" s="212" t="s">
        <v>147</v>
      </c>
      <c r="B78" s="207">
        <v>0</v>
      </c>
      <c r="D78" s="207">
        <v>0</v>
      </c>
      <c r="E78" s="209">
        <v>3</v>
      </c>
      <c r="F78" s="202">
        <f t="shared" si="6"/>
        <v>0</v>
      </c>
      <c r="H78" s="207">
        <v>0</v>
      </c>
      <c r="J78" s="202">
        <v>1118259.73</v>
      </c>
      <c r="K78" s="202">
        <f t="shared" si="7"/>
        <v>1118259.73</v>
      </c>
      <c r="L78" s="204">
        <f t="shared" si="8"/>
        <v>1118259.73</v>
      </c>
      <c r="M78" s="196"/>
      <c r="P78" s="196"/>
    </row>
    <row r="79" spans="1:16" x14ac:dyDescent="0.25">
      <c r="A79" s="212" t="s">
        <v>274</v>
      </c>
      <c r="B79" s="207">
        <v>0</v>
      </c>
      <c r="D79" s="207">
        <v>0</v>
      </c>
      <c r="E79" s="209">
        <v>3</v>
      </c>
      <c r="F79" s="202">
        <f t="shared" si="6"/>
        <v>0</v>
      </c>
      <c r="H79" s="202">
        <v>0</v>
      </c>
      <c r="J79" s="202">
        <v>0</v>
      </c>
      <c r="K79" s="202">
        <f t="shared" si="7"/>
        <v>0</v>
      </c>
      <c r="L79" s="204">
        <f t="shared" si="8"/>
        <v>0</v>
      </c>
      <c r="M79" s="196"/>
      <c r="P79" s="196"/>
    </row>
    <row r="80" spans="1:16" x14ac:dyDescent="0.25">
      <c r="A80" s="212" t="s">
        <v>148</v>
      </c>
      <c r="B80" s="207">
        <v>31783.759999999998</v>
      </c>
      <c r="D80" s="207">
        <v>0</v>
      </c>
      <c r="E80" s="209">
        <v>3</v>
      </c>
      <c r="F80" s="202">
        <f t="shared" si="6"/>
        <v>31783.759999999998</v>
      </c>
      <c r="H80" s="207">
        <v>60378.14</v>
      </c>
      <c r="J80" s="202">
        <v>315442.68</v>
      </c>
      <c r="K80" s="202">
        <f t="shared" si="7"/>
        <v>407604.58</v>
      </c>
      <c r="L80" s="204">
        <f t="shared" si="8"/>
        <v>407604.58</v>
      </c>
      <c r="M80" s="196"/>
      <c r="P80" s="196"/>
    </row>
    <row r="81" spans="1:16" x14ac:dyDescent="0.25">
      <c r="A81" s="205" t="s">
        <v>149</v>
      </c>
      <c r="B81" s="207">
        <v>0</v>
      </c>
      <c r="D81" s="207">
        <v>5089235.1900000004</v>
      </c>
      <c r="E81" s="206">
        <v>1</v>
      </c>
      <c r="F81" s="202">
        <f t="shared" si="6"/>
        <v>5089235.1900000004</v>
      </c>
      <c r="H81" s="207">
        <v>0</v>
      </c>
      <c r="J81" s="202">
        <v>0</v>
      </c>
      <c r="K81" s="202">
        <f t="shared" si="7"/>
        <v>5089235.1900000004</v>
      </c>
      <c r="L81" s="204">
        <f t="shared" si="8"/>
        <v>5089235.1900000004</v>
      </c>
      <c r="M81" s="196"/>
      <c r="P81" s="196"/>
    </row>
    <row r="82" spans="1:16" x14ac:dyDescent="0.25">
      <c r="A82" s="205" t="s">
        <v>150</v>
      </c>
      <c r="B82" s="207">
        <v>0</v>
      </c>
      <c r="D82" s="207">
        <v>0</v>
      </c>
      <c r="E82" s="206">
        <v>1</v>
      </c>
      <c r="F82" s="202">
        <f t="shared" si="6"/>
        <v>0</v>
      </c>
      <c r="H82" s="207">
        <v>0</v>
      </c>
      <c r="J82" s="202">
        <v>0</v>
      </c>
      <c r="K82" s="202">
        <f t="shared" si="7"/>
        <v>0</v>
      </c>
      <c r="L82" s="204">
        <f t="shared" si="8"/>
        <v>0</v>
      </c>
      <c r="M82" s="196"/>
      <c r="P82" s="196"/>
    </row>
    <row r="83" spans="1:16" x14ac:dyDescent="0.25">
      <c r="A83" s="212" t="s">
        <v>275</v>
      </c>
      <c r="B83" s="207">
        <v>0</v>
      </c>
      <c r="D83" s="207">
        <v>0</v>
      </c>
      <c r="E83" s="209">
        <v>3</v>
      </c>
      <c r="F83" s="202">
        <f t="shared" si="6"/>
        <v>0</v>
      </c>
      <c r="H83" s="207">
        <v>0</v>
      </c>
      <c r="J83" s="202">
        <v>0</v>
      </c>
      <c r="K83" s="202">
        <f t="shared" si="7"/>
        <v>0</v>
      </c>
      <c r="L83" s="204">
        <f t="shared" si="8"/>
        <v>0</v>
      </c>
      <c r="M83" s="196"/>
      <c r="P83" s="196"/>
    </row>
    <row r="84" spans="1:16" x14ac:dyDescent="0.25">
      <c r="A84" s="205" t="s">
        <v>151</v>
      </c>
      <c r="B84" s="207">
        <v>22200</v>
      </c>
      <c r="D84" s="207">
        <v>0</v>
      </c>
      <c r="E84" s="206">
        <v>1</v>
      </c>
      <c r="F84" s="202">
        <f t="shared" si="6"/>
        <v>22200</v>
      </c>
      <c r="H84" s="207">
        <v>0</v>
      </c>
      <c r="J84" s="202">
        <v>0</v>
      </c>
      <c r="K84" s="202">
        <f t="shared" si="7"/>
        <v>22200</v>
      </c>
      <c r="L84" s="204">
        <f t="shared" si="8"/>
        <v>22200</v>
      </c>
      <c r="M84" s="196"/>
      <c r="P84" s="196"/>
    </row>
    <row r="85" spans="1:16" x14ac:dyDescent="0.25">
      <c r="A85" s="212" t="s">
        <v>152</v>
      </c>
      <c r="B85" s="207">
        <v>17276.330000000002</v>
      </c>
      <c r="D85" s="207">
        <v>0</v>
      </c>
      <c r="E85" s="209">
        <v>3</v>
      </c>
      <c r="F85" s="202">
        <f t="shared" si="6"/>
        <v>17276.330000000002</v>
      </c>
      <c r="H85" s="202">
        <v>1580</v>
      </c>
      <c r="J85" s="202">
        <v>0</v>
      </c>
      <c r="K85" s="202">
        <f t="shared" si="7"/>
        <v>18856.330000000002</v>
      </c>
      <c r="L85" s="204">
        <f t="shared" si="8"/>
        <v>18856.330000000002</v>
      </c>
      <c r="M85" s="196"/>
      <c r="P85" s="196"/>
    </row>
    <row r="86" spans="1:16" x14ac:dyDescent="0.25">
      <c r="A86" s="212" t="s">
        <v>276</v>
      </c>
      <c r="B86" s="207">
        <v>0</v>
      </c>
      <c r="D86" s="207">
        <v>0</v>
      </c>
      <c r="E86" s="209">
        <v>3</v>
      </c>
      <c r="F86" s="202">
        <f t="shared" si="6"/>
        <v>0</v>
      </c>
      <c r="H86" s="202">
        <v>0</v>
      </c>
      <c r="J86" s="202">
        <v>0</v>
      </c>
      <c r="K86" s="202">
        <f t="shared" si="7"/>
        <v>0</v>
      </c>
      <c r="L86" s="204">
        <f t="shared" si="8"/>
        <v>0</v>
      </c>
      <c r="M86" s="196"/>
      <c r="P86" s="196"/>
    </row>
    <row r="87" spans="1:16" x14ac:dyDescent="0.25">
      <c r="A87" s="212" t="s">
        <v>277</v>
      </c>
      <c r="B87" s="207">
        <v>0</v>
      </c>
      <c r="D87" s="207">
        <v>0</v>
      </c>
      <c r="E87" s="209">
        <v>3</v>
      </c>
      <c r="F87" s="202">
        <f t="shared" si="6"/>
        <v>0</v>
      </c>
      <c r="H87" s="202">
        <v>0</v>
      </c>
      <c r="J87" s="202">
        <v>0</v>
      </c>
      <c r="K87" s="202">
        <f t="shared" si="7"/>
        <v>0</v>
      </c>
      <c r="L87" s="204">
        <f t="shared" si="8"/>
        <v>0</v>
      </c>
      <c r="M87" s="196"/>
      <c r="P87" s="196"/>
    </row>
    <row r="88" spans="1:16" x14ac:dyDescent="0.25">
      <c r="A88" s="212" t="s">
        <v>278</v>
      </c>
      <c r="B88" s="207">
        <v>0</v>
      </c>
      <c r="D88" s="207">
        <v>0</v>
      </c>
      <c r="E88" s="209">
        <v>3</v>
      </c>
      <c r="F88" s="202">
        <f t="shared" si="6"/>
        <v>0</v>
      </c>
      <c r="H88" s="207">
        <v>0</v>
      </c>
      <c r="J88" s="202">
        <v>0</v>
      </c>
      <c r="K88" s="202">
        <f t="shared" si="7"/>
        <v>0</v>
      </c>
      <c r="L88" s="204">
        <f t="shared" si="8"/>
        <v>0</v>
      </c>
      <c r="M88" s="196"/>
      <c r="P88" s="196"/>
    </row>
    <row r="89" spans="1:16" x14ac:dyDescent="0.25">
      <c r="A89" s="212" t="s">
        <v>153</v>
      </c>
      <c r="B89" s="207">
        <v>42240</v>
      </c>
      <c r="D89" s="207">
        <v>0</v>
      </c>
      <c r="E89" s="209">
        <v>3</v>
      </c>
      <c r="F89" s="202">
        <f t="shared" si="6"/>
        <v>42240</v>
      </c>
      <c r="H89" s="207">
        <v>0</v>
      </c>
      <c r="J89" s="202">
        <v>0</v>
      </c>
      <c r="K89" s="202">
        <f t="shared" si="7"/>
        <v>42240</v>
      </c>
      <c r="L89" s="204">
        <f t="shared" si="8"/>
        <v>42240</v>
      </c>
      <c r="M89" s="196"/>
      <c r="P89" s="196"/>
    </row>
    <row r="90" spans="1:16" x14ac:dyDescent="0.25">
      <c r="A90" s="212" t="s">
        <v>154</v>
      </c>
      <c r="B90" s="207">
        <v>60337.25</v>
      </c>
      <c r="D90" s="207">
        <v>0</v>
      </c>
      <c r="E90" s="209">
        <v>3</v>
      </c>
      <c r="F90" s="202">
        <f t="shared" si="6"/>
        <v>60337.25</v>
      </c>
      <c r="H90" s="202">
        <v>706649.44</v>
      </c>
      <c r="J90" s="202">
        <v>222606.83</v>
      </c>
      <c r="K90" s="202">
        <f t="shared" si="7"/>
        <v>989593.5199999999</v>
      </c>
      <c r="L90" s="204">
        <f t="shared" si="8"/>
        <v>989593.5199999999</v>
      </c>
      <c r="M90" s="196"/>
      <c r="P90" s="196"/>
    </row>
    <row r="91" spans="1:16" x14ac:dyDescent="0.25">
      <c r="A91" s="212" t="s">
        <v>279</v>
      </c>
      <c r="B91" s="207">
        <v>0</v>
      </c>
      <c r="D91" s="207">
        <v>0</v>
      </c>
      <c r="E91" s="209">
        <v>3</v>
      </c>
      <c r="F91" s="202">
        <f t="shared" si="6"/>
        <v>0</v>
      </c>
      <c r="H91" s="207">
        <v>0</v>
      </c>
      <c r="J91" s="202">
        <v>429454.14</v>
      </c>
      <c r="K91" s="202">
        <f t="shared" si="7"/>
        <v>429454.14</v>
      </c>
      <c r="L91" s="204">
        <f t="shared" si="8"/>
        <v>429454.14</v>
      </c>
      <c r="M91" s="196"/>
      <c r="P91" s="196"/>
    </row>
    <row r="92" spans="1:16" x14ac:dyDescent="0.25">
      <c r="A92" s="212" t="s">
        <v>280</v>
      </c>
      <c r="B92" s="207">
        <v>19440</v>
      </c>
      <c r="D92" s="207">
        <v>0</v>
      </c>
      <c r="E92" s="209">
        <v>3</v>
      </c>
      <c r="F92" s="202">
        <f t="shared" si="6"/>
        <v>19440</v>
      </c>
      <c r="H92" s="207">
        <v>0</v>
      </c>
      <c r="J92" s="202">
        <v>0</v>
      </c>
      <c r="K92" s="202">
        <f t="shared" si="7"/>
        <v>19440</v>
      </c>
      <c r="L92" s="204">
        <f t="shared" si="8"/>
        <v>19440</v>
      </c>
      <c r="M92" s="196"/>
      <c r="P92" s="196"/>
    </row>
    <row r="93" spans="1:16" x14ac:dyDescent="0.25">
      <c r="A93" s="212" t="s">
        <v>155</v>
      </c>
      <c r="B93" s="207">
        <v>0</v>
      </c>
      <c r="D93" s="207">
        <v>0</v>
      </c>
      <c r="E93" s="209">
        <v>3</v>
      </c>
      <c r="F93" s="202">
        <f t="shared" si="6"/>
        <v>0</v>
      </c>
      <c r="H93" s="207">
        <v>0</v>
      </c>
      <c r="J93" s="202">
        <v>0</v>
      </c>
      <c r="K93" s="202">
        <f t="shared" si="7"/>
        <v>0</v>
      </c>
      <c r="L93" s="204">
        <f t="shared" si="8"/>
        <v>0</v>
      </c>
      <c r="M93" s="196"/>
      <c r="P93" s="196"/>
    </row>
    <row r="94" spans="1:16" x14ac:dyDescent="0.25">
      <c r="A94" s="205" t="s">
        <v>156</v>
      </c>
      <c r="B94" s="207">
        <v>61248</v>
      </c>
      <c r="D94" s="207">
        <v>0</v>
      </c>
      <c r="E94" s="206">
        <v>1</v>
      </c>
      <c r="F94" s="202">
        <f t="shared" si="6"/>
        <v>61248</v>
      </c>
      <c r="H94" s="207">
        <v>0</v>
      </c>
      <c r="J94" s="202">
        <v>0</v>
      </c>
      <c r="K94" s="202">
        <f t="shared" si="7"/>
        <v>61248</v>
      </c>
      <c r="L94" s="204">
        <f t="shared" si="8"/>
        <v>61248</v>
      </c>
      <c r="M94" s="196"/>
      <c r="P94" s="196"/>
    </row>
    <row r="95" spans="1:16" x14ac:dyDescent="0.25">
      <c r="A95" s="212" t="s">
        <v>157</v>
      </c>
      <c r="B95" s="207">
        <v>446881</v>
      </c>
      <c r="D95" s="207">
        <v>3068006.25</v>
      </c>
      <c r="E95" s="209">
        <v>3</v>
      </c>
      <c r="F95" s="202">
        <f t="shared" si="6"/>
        <v>3514887.25</v>
      </c>
      <c r="H95" s="202">
        <v>72100</v>
      </c>
      <c r="J95" s="202">
        <v>985834.43</v>
      </c>
      <c r="K95" s="202">
        <f t="shared" si="7"/>
        <v>4572821.68</v>
      </c>
      <c r="L95" s="204">
        <f t="shared" si="8"/>
        <v>4572821.68</v>
      </c>
      <c r="M95" s="196"/>
      <c r="P95" s="196"/>
    </row>
    <row r="96" spans="1:16" x14ac:dyDescent="0.25">
      <c r="A96" s="212" t="s">
        <v>281</v>
      </c>
      <c r="B96" s="207">
        <v>0</v>
      </c>
      <c r="D96" s="207">
        <v>0</v>
      </c>
      <c r="E96" s="209">
        <v>3</v>
      </c>
      <c r="F96" s="202">
        <f t="shared" si="6"/>
        <v>0</v>
      </c>
      <c r="H96" s="207">
        <v>0</v>
      </c>
      <c r="J96" s="202">
        <v>0</v>
      </c>
      <c r="K96" s="202">
        <f t="shared" si="7"/>
        <v>0</v>
      </c>
      <c r="L96" s="204">
        <f t="shared" si="8"/>
        <v>0</v>
      </c>
      <c r="M96" s="196"/>
      <c r="P96" s="196"/>
    </row>
    <row r="97" spans="1:16" x14ac:dyDescent="0.25">
      <c r="A97" s="212" t="s">
        <v>282</v>
      </c>
      <c r="B97" s="207">
        <v>0</v>
      </c>
      <c r="D97" s="207">
        <v>0</v>
      </c>
      <c r="E97" s="209">
        <v>3</v>
      </c>
      <c r="F97" s="202">
        <f t="shared" si="6"/>
        <v>0</v>
      </c>
      <c r="H97" s="207">
        <v>0</v>
      </c>
      <c r="J97" s="202">
        <v>0</v>
      </c>
      <c r="K97" s="202">
        <f t="shared" si="7"/>
        <v>0</v>
      </c>
      <c r="L97" s="204">
        <f t="shared" si="8"/>
        <v>0</v>
      </c>
      <c r="M97" s="196"/>
      <c r="P97" s="196"/>
    </row>
    <row r="98" spans="1:16" x14ac:dyDescent="0.25">
      <c r="A98" s="197" t="s">
        <v>158</v>
      </c>
      <c r="B98" s="207">
        <v>211015.74</v>
      </c>
      <c r="D98" s="207">
        <v>0</v>
      </c>
      <c r="E98" s="198">
        <v>2</v>
      </c>
      <c r="F98" s="202">
        <f t="shared" si="6"/>
        <v>211015.74</v>
      </c>
      <c r="H98" s="202">
        <v>775104.19</v>
      </c>
      <c r="J98" s="202">
        <v>839299.61</v>
      </c>
      <c r="K98" s="202">
        <f t="shared" si="7"/>
        <v>1825419.5399999998</v>
      </c>
      <c r="L98" s="204">
        <f t="shared" si="8"/>
        <v>1825419.5399999998</v>
      </c>
      <c r="M98" s="196"/>
      <c r="P98" s="196"/>
    </row>
    <row r="99" spans="1:16" x14ac:dyDescent="0.25">
      <c r="A99" s="212" t="s">
        <v>283</v>
      </c>
      <c r="B99" s="207">
        <v>0</v>
      </c>
      <c r="D99" s="207">
        <v>0</v>
      </c>
      <c r="E99" s="209">
        <v>3</v>
      </c>
      <c r="F99" s="202">
        <f t="shared" ref="F99:F111" si="9">+B99+D99</f>
        <v>0</v>
      </c>
      <c r="H99" s="207">
        <v>13706.71</v>
      </c>
      <c r="J99" s="202">
        <v>0</v>
      </c>
      <c r="K99" s="202">
        <f t="shared" ref="K99:K130" si="10">+J99+H99+F99</f>
        <v>13706.71</v>
      </c>
      <c r="L99" s="204">
        <f t="shared" ref="L99:L130" si="11">+K99</f>
        <v>13706.71</v>
      </c>
      <c r="M99" s="196"/>
      <c r="P99" s="196"/>
    </row>
    <row r="100" spans="1:16" x14ac:dyDescent="0.25">
      <c r="A100" s="212" t="s">
        <v>284</v>
      </c>
      <c r="B100" s="207">
        <v>0</v>
      </c>
      <c r="D100" s="207">
        <v>0</v>
      </c>
      <c r="E100" s="209">
        <v>3</v>
      </c>
      <c r="F100" s="202">
        <f t="shared" si="9"/>
        <v>0</v>
      </c>
      <c r="H100" s="207">
        <v>0</v>
      </c>
      <c r="J100" s="202">
        <v>0</v>
      </c>
      <c r="K100" s="202">
        <f t="shared" si="10"/>
        <v>0</v>
      </c>
      <c r="L100" s="204">
        <f t="shared" si="11"/>
        <v>0</v>
      </c>
      <c r="M100" s="196"/>
      <c r="P100" s="196"/>
    </row>
    <row r="101" spans="1:16" x14ac:dyDescent="0.25">
      <c r="A101" s="212" t="s">
        <v>159</v>
      </c>
      <c r="B101" s="207">
        <v>0</v>
      </c>
      <c r="D101" s="207">
        <v>0</v>
      </c>
      <c r="E101" s="209">
        <v>3</v>
      </c>
      <c r="F101" s="202">
        <f t="shared" si="9"/>
        <v>0</v>
      </c>
      <c r="H101" s="207">
        <v>0</v>
      </c>
      <c r="J101" s="202">
        <v>0</v>
      </c>
      <c r="K101" s="202">
        <f t="shared" si="10"/>
        <v>0</v>
      </c>
      <c r="L101" s="204">
        <f t="shared" si="11"/>
        <v>0</v>
      </c>
      <c r="M101" s="196"/>
      <c r="P101" s="196"/>
    </row>
    <row r="102" spans="1:16" x14ac:dyDescent="0.25">
      <c r="A102" s="197" t="s">
        <v>160</v>
      </c>
      <c r="B102" s="207">
        <v>194208</v>
      </c>
      <c r="D102" s="207">
        <v>0</v>
      </c>
      <c r="E102" s="198">
        <v>2</v>
      </c>
      <c r="F102" s="202">
        <f t="shared" si="9"/>
        <v>194208</v>
      </c>
      <c r="H102" s="207">
        <v>0</v>
      </c>
      <c r="J102" s="202">
        <v>0</v>
      </c>
      <c r="K102" s="202">
        <f t="shared" si="10"/>
        <v>194208</v>
      </c>
      <c r="L102" s="204">
        <f t="shared" si="11"/>
        <v>194208</v>
      </c>
      <c r="M102" s="196"/>
      <c r="P102" s="196"/>
    </row>
    <row r="103" spans="1:16" x14ac:dyDescent="0.25">
      <c r="A103" s="197" t="s">
        <v>161</v>
      </c>
      <c r="B103" s="207">
        <v>0</v>
      </c>
      <c r="D103" s="207">
        <v>0</v>
      </c>
      <c r="E103" s="198">
        <v>2</v>
      </c>
      <c r="F103" s="202">
        <f t="shared" si="9"/>
        <v>0</v>
      </c>
      <c r="H103" s="202">
        <v>23029.16</v>
      </c>
      <c r="J103" s="202">
        <v>0</v>
      </c>
      <c r="K103" s="202">
        <f t="shared" si="10"/>
        <v>23029.16</v>
      </c>
      <c r="L103" s="204">
        <f t="shared" si="11"/>
        <v>23029.16</v>
      </c>
      <c r="M103" s="196"/>
      <c r="P103" s="196"/>
    </row>
    <row r="104" spans="1:16" x14ac:dyDescent="0.25">
      <c r="A104" s="212" t="s">
        <v>162</v>
      </c>
      <c r="B104" s="207">
        <v>0</v>
      </c>
      <c r="D104" s="207">
        <v>0</v>
      </c>
      <c r="E104" s="209">
        <v>3</v>
      </c>
      <c r="F104" s="202">
        <f t="shared" si="9"/>
        <v>0</v>
      </c>
      <c r="H104" s="202">
        <v>77739.210000000006</v>
      </c>
      <c r="J104" s="202">
        <v>0</v>
      </c>
      <c r="K104" s="202">
        <f t="shared" si="10"/>
        <v>77739.210000000006</v>
      </c>
      <c r="L104" s="204">
        <f t="shared" si="11"/>
        <v>77739.210000000006</v>
      </c>
      <c r="M104" s="196"/>
      <c r="P104" s="196"/>
    </row>
    <row r="105" spans="1:16" x14ac:dyDescent="0.25">
      <c r="A105" s="212" t="s">
        <v>163</v>
      </c>
      <c r="B105" s="207">
        <v>41589.01</v>
      </c>
      <c r="D105" s="207">
        <v>0</v>
      </c>
      <c r="E105" s="209">
        <v>3</v>
      </c>
      <c r="F105" s="202">
        <f t="shared" si="9"/>
        <v>41589.01</v>
      </c>
      <c r="H105" s="207">
        <v>0</v>
      </c>
      <c r="J105" s="202">
        <v>0</v>
      </c>
      <c r="K105" s="202">
        <f t="shared" si="10"/>
        <v>41589.01</v>
      </c>
      <c r="L105" s="204">
        <f t="shared" si="11"/>
        <v>41589.01</v>
      </c>
      <c r="M105" s="196"/>
      <c r="P105" s="196"/>
    </row>
    <row r="106" spans="1:16" x14ac:dyDescent="0.25">
      <c r="A106" s="212" t="s">
        <v>164</v>
      </c>
      <c r="B106" s="207">
        <v>10200</v>
      </c>
      <c r="D106" s="207">
        <v>0</v>
      </c>
      <c r="E106" s="209">
        <v>3</v>
      </c>
      <c r="F106" s="202">
        <f t="shared" si="9"/>
        <v>10200</v>
      </c>
      <c r="H106" s="202">
        <v>588931.1</v>
      </c>
      <c r="J106" s="202">
        <v>832062.76</v>
      </c>
      <c r="K106" s="202">
        <f t="shared" si="10"/>
        <v>1431193.8599999999</v>
      </c>
      <c r="L106" s="204">
        <f t="shared" si="11"/>
        <v>1431193.8599999999</v>
      </c>
      <c r="M106" s="196"/>
      <c r="P106" s="196"/>
    </row>
    <row r="107" spans="1:16" x14ac:dyDescent="0.25">
      <c r="A107" s="212" t="s">
        <v>285</v>
      </c>
      <c r="B107" s="207">
        <v>0</v>
      </c>
      <c r="D107" s="207">
        <v>0</v>
      </c>
      <c r="E107" s="209">
        <v>3</v>
      </c>
      <c r="F107" s="202">
        <f t="shared" si="9"/>
        <v>0</v>
      </c>
      <c r="H107" s="207">
        <v>0</v>
      </c>
      <c r="J107" s="202">
        <v>0</v>
      </c>
      <c r="K107" s="202">
        <f t="shared" si="10"/>
        <v>0</v>
      </c>
      <c r="L107" s="204">
        <f t="shared" si="11"/>
        <v>0</v>
      </c>
      <c r="M107" s="196"/>
      <c r="P107" s="196"/>
    </row>
    <row r="108" spans="1:16" x14ac:dyDescent="0.25">
      <c r="A108" s="212" t="s">
        <v>165</v>
      </c>
      <c r="B108" s="207">
        <v>0</v>
      </c>
      <c r="D108" s="207">
        <v>0</v>
      </c>
      <c r="E108" s="209">
        <v>3</v>
      </c>
      <c r="F108" s="202">
        <f t="shared" si="9"/>
        <v>0</v>
      </c>
      <c r="H108" s="207">
        <v>0</v>
      </c>
      <c r="J108" s="202">
        <v>152767.82</v>
      </c>
      <c r="K108" s="202">
        <f t="shared" si="10"/>
        <v>152767.82</v>
      </c>
      <c r="L108" s="204">
        <f t="shared" si="11"/>
        <v>152767.82</v>
      </c>
      <c r="M108" s="196"/>
      <c r="P108" s="196"/>
    </row>
    <row r="109" spans="1:16" x14ac:dyDescent="0.25">
      <c r="A109" s="212" t="s">
        <v>166</v>
      </c>
      <c r="B109" s="207">
        <v>239384.27</v>
      </c>
      <c r="D109" s="207">
        <v>0</v>
      </c>
      <c r="E109" s="209">
        <v>3</v>
      </c>
      <c r="F109" s="202">
        <f t="shared" si="9"/>
        <v>239384.27</v>
      </c>
      <c r="H109" s="202">
        <v>20266.41</v>
      </c>
      <c r="J109" s="202">
        <v>682238.67</v>
      </c>
      <c r="K109" s="202">
        <f t="shared" si="10"/>
        <v>941889.35000000009</v>
      </c>
      <c r="L109" s="204">
        <f t="shared" si="11"/>
        <v>941889.35000000009</v>
      </c>
      <c r="M109" s="196"/>
      <c r="P109" s="196"/>
    </row>
    <row r="110" spans="1:16" x14ac:dyDescent="0.25">
      <c r="A110" s="205" t="s">
        <v>167</v>
      </c>
      <c r="B110" s="207">
        <v>401790.8</v>
      </c>
      <c r="D110" s="207">
        <v>272.5</v>
      </c>
      <c r="E110" s="206">
        <v>1</v>
      </c>
      <c r="F110" s="202">
        <f t="shared" si="9"/>
        <v>402063.3</v>
      </c>
      <c r="H110" s="202">
        <v>21130</v>
      </c>
      <c r="J110" s="202">
        <v>0</v>
      </c>
      <c r="K110" s="202">
        <f t="shared" si="10"/>
        <v>423193.3</v>
      </c>
      <c r="L110" s="204">
        <f t="shared" si="11"/>
        <v>423193.3</v>
      </c>
      <c r="M110" s="196"/>
      <c r="P110" s="196"/>
    </row>
    <row r="111" spans="1:16" x14ac:dyDescent="0.25">
      <c r="A111" s="205" t="s">
        <v>168</v>
      </c>
      <c r="B111" s="207">
        <v>7717109.2400000002</v>
      </c>
      <c r="D111" s="207">
        <v>3752877.5</v>
      </c>
      <c r="E111" s="206">
        <v>1</v>
      </c>
      <c r="F111" s="202">
        <f t="shared" si="9"/>
        <v>11469986.74</v>
      </c>
      <c r="H111" s="202">
        <v>544298.81000000006</v>
      </c>
      <c r="J111" s="202">
        <v>10340117.300000001</v>
      </c>
      <c r="K111" s="202">
        <f t="shared" si="10"/>
        <v>22354402.850000001</v>
      </c>
      <c r="L111" s="204">
        <f t="shared" si="11"/>
        <v>22354402.850000001</v>
      </c>
      <c r="M111" s="196"/>
      <c r="P111" s="196"/>
    </row>
    <row r="112" spans="1:16" x14ac:dyDescent="0.25">
      <c r="A112" s="214" t="s">
        <v>528</v>
      </c>
      <c r="B112" s="207">
        <v>0</v>
      </c>
      <c r="D112" s="207">
        <v>0</v>
      </c>
      <c r="E112" s="215">
        <v>3</v>
      </c>
      <c r="F112" s="202"/>
      <c r="H112" s="202">
        <v>0</v>
      </c>
      <c r="J112" s="202">
        <v>22619.17</v>
      </c>
      <c r="K112" s="202">
        <f t="shared" si="10"/>
        <v>22619.17</v>
      </c>
      <c r="L112" s="204">
        <f t="shared" si="11"/>
        <v>22619.17</v>
      </c>
      <c r="M112" s="196"/>
      <c r="P112" s="196"/>
    </row>
    <row r="113" spans="1:16" x14ac:dyDescent="0.25">
      <c r="A113" s="214" t="s">
        <v>286</v>
      </c>
      <c r="B113" s="207">
        <v>893436.94</v>
      </c>
      <c r="D113" s="207">
        <v>0</v>
      </c>
      <c r="E113" s="215">
        <v>3</v>
      </c>
      <c r="F113" s="202">
        <f t="shared" ref="F113:F151" si="12">+B113+D113</f>
        <v>893436.94</v>
      </c>
      <c r="H113" s="207">
        <v>925.44</v>
      </c>
      <c r="J113" s="202">
        <v>0</v>
      </c>
      <c r="K113" s="202">
        <f t="shared" si="10"/>
        <v>894362.37999999989</v>
      </c>
      <c r="L113" s="204">
        <f t="shared" si="11"/>
        <v>894362.37999999989</v>
      </c>
      <c r="M113" s="196"/>
      <c r="P113" s="196"/>
    </row>
    <row r="114" spans="1:16" x14ac:dyDescent="0.25">
      <c r="A114" s="205" t="s">
        <v>169</v>
      </c>
      <c r="B114" s="207">
        <v>711833.07</v>
      </c>
      <c r="D114" s="207">
        <v>0</v>
      </c>
      <c r="E114" s="206">
        <v>1</v>
      </c>
      <c r="F114" s="202">
        <f t="shared" si="12"/>
        <v>711833.07</v>
      </c>
      <c r="H114" s="207">
        <v>192900</v>
      </c>
      <c r="J114" s="202">
        <v>2813901.23</v>
      </c>
      <c r="K114" s="202">
        <f t="shared" si="10"/>
        <v>3718634.3</v>
      </c>
      <c r="L114" s="204">
        <f t="shared" si="11"/>
        <v>3718634.3</v>
      </c>
      <c r="M114" s="196"/>
      <c r="P114" s="196"/>
    </row>
    <row r="115" spans="1:16" s="216" customFormat="1" x14ac:dyDescent="0.25">
      <c r="A115" s="212" t="s">
        <v>287</v>
      </c>
      <c r="B115" s="207">
        <v>0</v>
      </c>
      <c r="D115" s="207">
        <v>0</v>
      </c>
      <c r="E115" s="209">
        <v>3</v>
      </c>
      <c r="F115" s="202">
        <f t="shared" si="12"/>
        <v>0</v>
      </c>
      <c r="H115" s="207">
        <v>0</v>
      </c>
      <c r="J115" s="202">
        <v>0</v>
      </c>
      <c r="K115" s="202">
        <f t="shared" si="10"/>
        <v>0</v>
      </c>
      <c r="L115" s="204">
        <f t="shared" si="11"/>
        <v>0</v>
      </c>
    </row>
    <row r="116" spans="1:16" s="216" customFormat="1" x14ac:dyDescent="0.25">
      <c r="A116" s="205" t="s">
        <v>170</v>
      </c>
      <c r="B116" s="207">
        <v>5757308</v>
      </c>
      <c r="D116" s="207">
        <v>0</v>
      </c>
      <c r="E116" s="206">
        <v>1</v>
      </c>
      <c r="F116" s="202">
        <f t="shared" si="12"/>
        <v>5757308</v>
      </c>
      <c r="H116" s="207">
        <v>0</v>
      </c>
      <c r="J116" s="202">
        <v>14500</v>
      </c>
      <c r="K116" s="202">
        <f t="shared" si="10"/>
        <v>5771808</v>
      </c>
      <c r="L116" s="204">
        <f t="shared" si="11"/>
        <v>5771808</v>
      </c>
    </row>
    <row r="117" spans="1:16" s="216" customFormat="1" x14ac:dyDescent="0.25">
      <c r="A117" s="212" t="s">
        <v>171</v>
      </c>
      <c r="B117" s="207">
        <v>280441.44</v>
      </c>
      <c r="D117" s="207">
        <v>0</v>
      </c>
      <c r="E117" s="209">
        <v>3</v>
      </c>
      <c r="F117" s="202">
        <f t="shared" si="12"/>
        <v>280441.44</v>
      </c>
      <c r="H117" s="207">
        <v>0</v>
      </c>
      <c r="J117" s="202">
        <v>240956.21</v>
      </c>
      <c r="K117" s="202">
        <f t="shared" si="10"/>
        <v>521397.65</v>
      </c>
      <c r="L117" s="204">
        <f t="shared" si="11"/>
        <v>521397.65</v>
      </c>
    </row>
    <row r="118" spans="1:16" s="216" customFormat="1" x14ac:dyDescent="0.25">
      <c r="A118" s="205" t="s">
        <v>288</v>
      </c>
      <c r="B118" s="207">
        <v>0</v>
      </c>
      <c r="D118" s="207">
        <v>0</v>
      </c>
      <c r="E118" s="206">
        <v>1</v>
      </c>
      <c r="F118" s="202">
        <f t="shared" si="12"/>
        <v>0</v>
      </c>
      <c r="H118" s="207">
        <v>0</v>
      </c>
      <c r="J118" s="202">
        <v>0</v>
      </c>
      <c r="K118" s="202">
        <f t="shared" si="10"/>
        <v>0</v>
      </c>
      <c r="L118" s="204">
        <f t="shared" si="11"/>
        <v>0</v>
      </c>
    </row>
    <row r="119" spans="1:16" s="216" customFormat="1" x14ac:dyDescent="0.25">
      <c r="A119" s="212" t="s">
        <v>172</v>
      </c>
      <c r="B119" s="207">
        <v>19062</v>
      </c>
      <c r="D119" s="207">
        <v>0</v>
      </c>
      <c r="E119" s="209">
        <v>3</v>
      </c>
      <c r="F119" s="202">
        <f t="shared" si="12"/>
        <v>19062</v>
      </c>
      <c r="H119" s="207">
        <v>0</v>
      </c>
      <c r="J119" s="202">
        <v>0</v>
      </c>
      <c r="K119" s="202">
        <f t="shared" si="10"/>
        <v>19062</v>
      </c>
      <c r="L119" s="204">
        <f t="shared" si="11"/>
        <v>19062</v>
      </c>
    </row>
    <row r="120" spans="1:16" s="216" customFormat="1" x14ac:dyDescent="0.25">
      <c r="A120" s="212" t="s">
        <v>289</v>
      </c>
      <c r="B120" s="207">
        <v>0</v>
      </c>
      <c r="D120" s="207">
        <v>0</v>
      </c>
      <c r="E120" s="209">
        <v>3</v>
      </c>
      <c r="F120" s="202">
        <f t="shared" si="12"/>
        <v>0</v>
      </c>
      <c r="H120" s="207">
        <v>0</v>
      </c>
      <c r="J120" s="202">
        <v>0</v>
      </c>
      <c r="K120" s="202">
        <f t="shared" si="10"/>
        <v>0</v>
      </c>
      <c r="L120" s="204">
        <f t="shared" si="11"/>
        <v>0</v>
      </c>
    </row>
    <row r="121" spans="1:16" s="216" customFormat="1" x14ac:dyDescent="0.25">
      <c r="A121" s="212" t="s">
        <v>173</v>
      </c>
      <c r="B121" s="207">
        <v>106200</v>
      </c>
      <c r="D121" s="207">
        <v>0</v>
      </c>
      <c r="E121" s="209">
        <v>3</v>
      </c>
      <c r="F121" s="202">
        <f t="shared" si="12"/>
        <v>106200</v>
      </c>
      <c r="H121" s="207">
        <v>0</v>
      </c>
      <c r="J121" s="202">
        <v>0</v>
      </c>
      <c r="K121" s="202">
        <f t="shared" si="10"/>
        <v>106200</v>
      </c>
      <c r="L121" s="204">
        <f t="shared" si="11"/>
        <v>106200</v>
      </c>
    </row>
    <row r="122" spans="1:16" x14ac:dyDescent="0.25">
      <c r="A122" s="212" t="s">
        <v>290</v>
      </c>
      <c r="B122" s="207">
        <v>0</v>
      </c>
      <c r="D122" s="207">
        <v>0</v>
      </c>
      <c r="E122" s="209">
        <v>3</v>
      </c>
      <c r="F122" s="202">
        <f t="shared" si="12"/>
        <v>0</v>
      </c>
      <c r="H122" s="207">
        <v>0</v>
      </c>
      <c r="J122" s="202">
        <v>0</v>
      </c>
      <c r="K122" s="202">
        <f t="shared" si="10"/>
        <v>0</v>
      </c>
      <c r="L122" s="204">
        <f t="shared" si="11"/>
        <v>0</v>
      </c>
      <c r="M122" s="196"/>
      <c r="P122" s="196"/>
    </row>
    <row r="123" spans="1:16" x14ac:dyDescent="0.25">
      <c r="A123" s="205" t="s">
        <v>174</v>
      </c>
      <c r="B123" s="207">
        <v>14478</v>
      </c>
      <c r="D123" s="207">
        <v>0</v>
      </c>
      <c r="E123" s="206">
        <v>1</v>
      </c>
      <c r="F123" s="202">
        <f t="shared" si="12"/>
        <v>14478</v>
      </c>
      <c r="H123" s="207">
        <v>143278</v>
      </c>
      <c r="J123" s="202">
        <v>464783</v>
      </c>
      <c r="K123" s="202">
        <f t="shared" si="10"/>
        <v>622539</v>
      </c>
      <c r="L123" s="204">
        <f t="shared" si="11"/>
        <v>622539</v>
      </c>
      <c r="M123" s="196"/>
      <c r="P123" s="196"/>
    </row>
    <row r="124" spans="1:16" x14ac:dyDescent="0.25">
      <c r="A124" s="212" t="s">
        <v>291</v>
      </c>
      <c r="B124" s="207">
        <v>0</v>
      </c>
      <c r="D124" s="207">
        <v>0</v>
      </c>
      <c r="E124" s="209">
        <v>3</v>
      </c>
      <c r="F124" s="202">
        <f t="shared" si="12"/>
        <v>0</v>
      </c>
      <c r="H124" s="207">
        <v>0</v>
      </c>
      <c r="J124" s="202">
        <v>0</v>
      </c>
      <c r="K124" s="202">
        <f t="shared" si="10"/>
        <v>0</v>
      </c>
      <c r="L124" s="204">
        <f t="shared" si="11"/>
        <v>0</v>
      </c>
      <c r="M124" s="196"/>
      <c r="P124" s="196"/>
    </row>
    <row r="125" spans="1:16" x14ac:dyDescent="0.25">
      <c r="A125" s="212" t="s">
        <v>292</v>
      </c>
      <c r="B125" s="207">
        <v>0</v>
      </c>
      <c r="D125" s="207">
        <v>0</v>
      </c>
      <c r="E125" s="209">
        <v>3</v>
      </c>
      <c r="F125" s="202">
        <f t="shared" si="12"/>
        <v>0</v>
      </c>
      <c r="H125" s="207">
        <v>0</v>
      </c>
      <c r="J125" s="202">
        <v>0</v>
      </c>
      <c r="K125" s="202">
        <f t="shared" si="10"/>
        <v>0</v>
      </c>
      <c r="L125" s="204">
        <f t="shared" si="11"/>
        <v>0</v>
      </c>
      <c r="M125" s="196"/>
      <c r="P125" s="196"/>
    </row>
    <row r="126" spans="1:16" x14ac:dyDescent="0.25">
      <c r="A126" s="212" t="s">
        <v>175</v>
      </c>
      <c r="B126" s="207">
        <v>35280.9</v>
      </c>
      <c r="D126" s="207">
        <v>0</v>
      </c>
      <c r="E126" s="209">
        <v>3</v>
      </c>
      <c r="F126" s="202">
        <f t="shared" si="12"/>
        <v>35280.9</v>
      </c>
      <c r="H126" s="207">
        <v>0</v>
      </c>
      <c r="J126" s="202">
        <v>0</v>
      </c>
      <c r="K126" s="202">
        <f t="shared" si="10"/>
        <v>35280.9</v>
      </c>
      <c r="L126" s="204">
        <f t="shared" si="11"/>
        <v>35280.9</v>
      </c>
      <c r="M126" s="196"/>
      <c r="P126" s="196"/>
    </row>
    <row r="127" spans="1:16" x14ac:dyDescent="0.25">
      <c r="A127" s="212" t="s">
        <v>293</v>
      </c>
      <c r="B127" s="207">
        <v>0</v>
      </c>
      <c r="D127" s="207">
        <v>0</v>
      </c>
      <c r="E127" s="209">
        <v>3</v>
      </c>
      <c r="F127" s="202">
        <f t="shared" si="12"/>
        <v>0</v>
      </c>
      <c r="H127" s="207">
        <v>0</v>
      </c>
      <c r="J127" s="202">
        <v>0</v>
      </c>
      <c r="K127" s="202">
        <f t="shared" si="10"/>
        <v>0</v>
      </c>
      <c r="L127" s="204">
        <f t="shared" si="11"/>
        <v>0</v>
      </c>
      <c r="M127" s="196"/>
      <c r="P127" s="196"/>
    </row>
    <row r="128" spans="1:16" x14ac:dyDescent="0.25">
      <c r="A128" s="212" t="s">
        <v>176</v>
      </c>
      <c r="B128" s="207">
        <v>31000</v>
      </c>
      <c r="D128" s="207">
        <v>0</v>
      </c>
      <c r="E128" s="209">
        <v>3</v>
      </c>
      <c r="F128" s="202">
        <f t="shared" si="12"/>
        <v>31000</v>
      </c>
      <c r="H128" s="207">
        <v>0</v>
      </c>
      <c r="J128" s="202">
        <v>0</v>
      </c>
      <c r="K128" s="202">
        <f t="shared" si="10"/>
        <v>31000</v>
      </c>
      <c r="L128" s="204">
        <f t="shared" si="11"/>
        <v>31000</v>
      </c>
      <c r="M128" s="196"/>
      <c r="P128" s="196"/>
    </row>
    <row r="129" spans="1:16" x14ac:dyDescent="0.25">
      <c r="A129" s="212" t="s">
        <v>177</v>
      </c>
      <c r="B129" s="207">
        <v>0</v>
      </c>
      <c r="D129" s="207">
        <v>47432.5</v>
      </c>
      <c r="E129" s="209">
        <v>3</v>
      </c>
      <c r="F129" s="202">
        <f t="shared" si="12"/>
        <v>47432.5</v>
      </c>
      <c r="H129" s="202">
        <v>290250</v>
      </c>
      <c r="J129" s="202">
        <v>277647.64</v>
      </c>
      <c r="K129" s="202">
        <f t="shared" si="10"/>
        <v>615330.14</v>
      </c>
      <c r="L129" s="204">
        <f t="shared" si="11"/>
        <v>615330.14</v>
      </c>
      <c r="M129" s="196"/>
      <c r="P129" s="196"/>
    </row>
    <row r="130" spans="1:16" x14ac:dyDescent="0.25">
      <c r="A130" s="212" t="s">
        <v>178</v>
      </c>
      <c r="B130" s="207">
        <v>84722.01</v>
      </c>
      <c r="D130" s="207">
        <v>0</v>
      </c>
      <c r="E130" s="209">
        <v>3</v>
      </c>
      <c r="F130" s="202">
        <f t="shared" si="12"/>
        <v>84722.01</v>
      </c>
      <c r="H130" s="202">
        <v>0</v>
      </c>
      <c r="J130" s="202">
        <v>88843.97</v>
      </c>
      <c r="K130" s="202">
        <f t="shared" si="10"/>
        <v>173565.97999999998</v>
      </c>
      <c r="L130" s="204">
        <f t="shared" si="11"/>
        <v>173565.97999999998</v>
      </c>
      <c r="M130" s="196"/>
      <c r="P130" s="196"/>
    </row>
    <row r="131" spans="1:16" x14ac:dyDescent="0.25">
      <c r="A131" s="212" t="s">
        <v>179</v>
      </c>
      <c r="B131" s="207">
        <v>0</v>
      </c>
      <c r="D131" s="207">
        <v>0</v>
      </c>
      <c r="E131" s="209">
        <v>3</v>
      </c>
      <c r="F131" s="202">
        <f t="shared" si="12"/>
        <v>0</v>
      </c>
      <c r="H131" s="202">
        <v>1175223.3799999999</v>
      </c>
      <c r="J131" s="202">
        <v>120841.48</v>
      </c>
      <c r="K131" s="202">
        <f t="shared" ref="K131:K151" si="13">+J131+H131+F131</f>
        <v>1296064.8599999999</v>
      </c>
      <c r="L131" s="204">
        <f t="shared" ref="L131:L151" si="14">+K131</f>
        <v>1296064.8599999999</v>
      </c>
      <c r="M131" s="196"/>
      <c r="P131" s="196"/>
    </row>
    <row r="132" spans="1:16" x14ac:dyDescent="0.25">
      <c r="A132" s="212" t="s">
        <v>180</v>
      </c>
      <c r="B132" s="207">
        <v>118445.11</v>
      </c>
      <c r="D132" s="207">
        <v>0</v>
      </c>
      <c r="E132" s="209">
        <v>3</v>
      </c>
      <c r="F132" s="202">
        <f t="shared" si="12"/>
        <v>118445.11</v>
      </c>
      <c r="H132" s="202">
        <v>33609.629999999997</v>
      </c>
      <c r="J132" s="202">
        <v>0</v>
      </c>
      <c r="K132" s="202">
        <f t="shared" si="13"/>
        <v>152054.74</v>
      </c>
      <c r="L132" s="204">
        <f t="shared" si="14"/>
        <v>152054.74</v>
      </c>
      <c r="M132" s="196"/>
      <c r="P132" s="196"/>
    </row>
    <row r="133" spans="1:16" x14ac:dyDescent="0.25">
      <c r="A133" s="212" t="s">
        <v>181</v>
      </c>
      <c r="B133" s="207">
        <v>189969.24</v>
      </c>
      <c r="D133" s="207">
        <v>0</v>
      </c>
      <c r="E133" s="209">
        <v>3</v>
      </c>
      <c r="F133" s="202">
        <f t="shared" si="12"/>
        <v>189969.24</v>
      </c>
      <c r="H133" s="207">
        <v>0</v>
      </c>
      <c r="J133" s="202">
        <v>1112200.02</v>
      </c>
      <c r="K133" s="202">
        <f t="shared" si="13"/>
        <v>1302169.26</v>
      </c>
      <c r="L133" s="204">
        <f t="shared" si="14"/>
        <v>1302169.26</v>
      </c>
      <c r="M133" s="196"/>
      <c r="P133" s="196"/>
    </row>
    <row r="134" spans="1:16" x14ac:dyDescent="0.25">
      <c r="A134" s="212" t="s">
        <v>294</v>
      </c>
      <c r="B134" s="207">
        <v>0</v>
      </c>
      <c r="D134" s="207">
        <v>0</v>
      </c>
      <c r="E134" s="209">
        <v>3</v>
      </c>
      <c r="F134" s="202">
        <f t="shared" si="12"/>
        <v>0</v>
      </c>
      <c r="H134" s="207">
        <v>0</v>
      </c>
      <c r="J134" s="202">
        <v>0</v>
      </c>
      <c r="K134" s="202">
        <f t="shared" si="13"/>
        <v>0</v>
      </c>
      <c r="L134" s="204">
        <f t="shared" si="14"/>
        <v>0</v>
      </c>
      <c r="M134" s="196"/>
      <c r="P134" s="196"/>
    </row>
    <row r="135" spans="1:16" x14ac:dyDescent="0.25">
      <c r="A135" s="205" t="s">
        <v>182</v>
      </c>
      <c r="B135" s="207">
        <v>0</v>
      </c>
      <c r="D135" s="207">
        <v>0</v>
      </c>
      <c r="E135" s="206">
        <v>1</v>
      </c>
      <c r="F135" s="202">
        <f t="shared" si="12"/>
        <v>0</v>
      </c>
      <c r="H135" s="207">
        <v>0</v>
      </c>
      <c r="J135" s="202">
        <v>0</v>
      </c>
      <c r="K135" s="202">
        <f t="shared" si="13"/>
        <v>0</v>
      </c>
      <c r="L135" s="204">
        <f t="shared" si="14"/>
        <v>0</v>
      </c>
      <c r="M135" s="196"/>
      <c r="P135" s="196"/>
    </row>
    <row r="136" spans="1:16" x14ac:dyDescent="0.25">
      <c r="A136" s="197" t="s">
        <v>183</v>
      </c>
      <c r="B136" s="207">
        <v>255674.6</v>
      </c>
      <c r="D136" s="207">
        <v>2209.4899999999998</v>
      </c>
      <c r="E136" s="198">
        <v>2</v>
      </c>
      <c r="F136" s="202">
        <f t="shared" si="12"/>
        <v>257884.09</v>
      </c>
      <c r="H136" s="202">
        <v>2220665.8199999998</v>
      </c>
      <c r="J136" s="202">
        <v>851310.31</v>
      </c>
      <c r="K136" s="202">
        <f t="shared" si="13"/>
        <v>3329860.2199999997</v>
      </c>
      <c r="L136" s="204">
        <f t="shared" si="14"/>
        <v>3329860.2199999997</v>
      </c>
      <c r="M136" s="196"/>
      <c r="P136" s="196"/>
    </row>
    <row r="137" spans="1:16" x14ac:dyDescent="0.25">
      <c r="A137" s="212" t="s">
        <v>184</v>
      </c>
      <c r="B137" s="207">
        <v>0</v>
      </c>
      <c r="D137" s="207">
        <v>0</v>
      </c>
      <c r="E137" s="198">
        <v>3</v>
      </c>
      <c r="F137" s="202">
        <f t="shared" si="12"/>
        <v>0</v>
      </c>
      <c r="H137" s="207">
        <v>0</v>
      </c>
      <c r="J137" s="202">
        <v>0</v>
      </c>
      <c r="K137" s="202">
        <f t="shared" si="13"/>
        <v>0</v>
      </c>
      <c r="L137" s="204">
        <f t="shared" si="14"/>
        <v>0</v>
      </c>
      <c r="M137" s="196"/>
      <c r="P137" s="196"/>
    </row>
    <row r="138" spans="1:16" x14ac:dyDescent="0.25">
      <c r="A138" s="212" t="s">
        <v>185</v>
      </c>
      <c r="B138" s="207">
        <v>0</v>
      </c>
      <c r="D138" s="207">
        <v>0</v>
      </c>
      <c r="E138" s="209">
        <v>3</v>
      </c>
      <c r="F138" s="202">
        <f t="shared" si="12"/>
        <v>0</v>
      </c>
      <c r="H138" s="202">
        <v>453330.6</v>
      </c>
      <c r="J138" s="202">
        <v>111710.16</v>
      </c>
      <c r="K138" s="202">
        <f t="shared" si="13"/>
        <v>565040.76</v>
      </c>
      <c r="L138" s="204">
        <f t="shared" si="14"/>
        <v>565040.76</v>
      </c>
      <c r="M138" s="196"/>
      <c r="P138" s="196"/>
    </row>
    <row r="139" spans="1:16" x14ac:dyDescent="0.25">
      <c r="A139" s="212" t="s">
        <v>186</v>
      </c>
      <c r="B139" s="207">
        <v>61065.2</v>
      </c>
      <c r="D139" s="207">
        <v>0</v>
      </c>
      <c r="E139" s="209">
        <v>3</v>
      </c>
      <c r="F139" s="202">
        <f t="shared" si="12"/>
        <v>61065.2</v>
      </c>
      <c r="H139" s="207">
        <v>5775</v>
      </c>
      <c r="J139" s="202">
        <v>26264.880000000001</v>
      </c>
      <c r="K139" s="202">
        <f t="shared" si="13"/>
        <v>93105.08</v>
      </c>
      <c r="L139" s="204">
        <f t="shared" si="14"/>
        <v>93105.08</v>
      </c>
      <c r="M139" s="196"/>
      <c r="P139" s="196"/>
    </row>
    <row r="140" spans="1:16" x14ac:dyDescent="0.25">
      <c r="A140" s="212" t="s">
        <v>295</v>
      </c>
      <c r="B140" s="207">
        <v>0</v>
      </c>
      <c r="D140" s="207">
        <v>0</v>
      </c>
      <c r="E140" s="209">
        <v>3</v>
      </c>
      <c r="F140" s="202">
        <f t="shared" si="12"/>
        <v>0</v>
      </c>
      <c r="H140" s="207">
        <v>0</v>
      </c>
      <c r="J140" s="202">
        <v>0</v>
      </c>
      <c r="K140" s="202">
        <f t="shared" si="13"/>
        <v>0</v>
      </c>
      <c r="L140" s="204">
        <f t="shared" si="14"/>
        <v>0</v>
      </c>
      <c r="M140" s="196"/>
      <c r="P140" s="196"/>
    </row>
    <row r="141" spans="1:16" x14ac:dyDescent="0.25">
      <c r="A141" s="212" t="s">
        <v>296</v>
      </c>
      <c r="B141" s="207">
        <v>0</v>
      </c>
      <c r="D141" s="207">
        <v>0</v>
      </c>
      <c r="E141" s="209">
        <v>3</v>
      </c>
      <c r="F141" s="202">
        <f t="shared" si="12"/>
        <v>0</v>
      </c>
      <c r="H141" s="207">
        <v>0</v>
      </c>
      <c r="J141" s="202">
        <v>0</v>
      </c>
      <c r="K141" s="202">
        <f t="shared" si="13"/>
        <v>0</v>
      </c>
      <c r="L141" s="204">
        <f t="shared" si="14"/>
        <v>0</v>
      </c>
      <c r="M141" s="196"/>
      <c r="P141" s="196"/>
    </row>
    <row r="142" spans="1:16" x14ac:dyDescent="0.25">
      <c r="A142" s="212" t="s">
        <v>187</v>
      </c>
      <c r="B142" s="207">
        <v>134245.1</v>
      </c>
      <c r="D142" s="207">
        <v>0</v>
      </c>
      <c r="E142" s="209">
        <v>3</v>
      </c>
      <c r="F142" s="202">
        <f t="shared" si="12"/>
        <v>134245.1</v>
      </c>
      <c r="H142" s="202">
        <v>493590</v>
      </c>
      <c r="J142" s="202">
        <v>1360498.8</v>
      </c>
      <c r="K142" s="202">
        <f t="shared" si="13"/>
        <v>1988333.9000000001</v>
      </c>
      <c r="L142" s="204">
        <f t="shared" si="14"/>
        <v>1988333.9000000001</v>
      </c>
      <c r="M142" s="196"/>
      <c r="P142" s="196"/>
    </row>
    <row r="143" spans="1:16" x14ac:dyDescent="0.25">
      <c r="A143" s="197" t="s">
        <v>188</v>
      </c>
      <c r="B143" s="207">
        <v>335710</v>
      </c>
      <c r="D143" s="207">
        <v>13705337.51</v>
      </c>
      <c r="E143" s="198">
        <v>2</v>
      </c>
      <c r="F143" s="202">
        <f t="shared" si="12"/>
        <v>14041047.51</v>
      </c>
      <c r="H143" s="202">
        <v>5923962.1399999997</v>
      </c>
      <c r="J143" s="202">
        <v>1960295.36</v>
      </c>
      <c r="K143" s="202">
        <f t="shared" si="13"/>
        <v>21925305.009999998</v>
      </c>
      <c r="L143" s="204">
        <f t="shared" si="14"/>
        <v>21925305.009999998</v>
      </c>
      <c r="M143" s="196"/>
      <c r="P143" s="196"/>
    </row>
    <row r="144" spans="1:16" x14ac:dyDescent="0.25">
      <c r="A144" s="212" t="s">
        <v>189</v>
      </c>
      <c r="B144" s="207">
        <v>62577.599999999999</v>
      </c>
      <c r="D144" s="207">
        <v>0</v>
      </c>
      <c r="E144" s="209">
        <v>3</v>
      </c>
      <c r="F144" s="202">
        <f t="shared" si="12"/>
        <v>62577.599999999999</v>
      </c>
      <c r="H144" s="202">
        <v>48000</v>
      </c>
      <c r="J144" s="202">
        <v>60740</v>
      </c>
      <c r="K144" s="202">
        <f t="shared" si="13"/>
        <v>171317.6</v>
      </c>
      <c r="L144" s="204">
        <f t="shared" si="14"/>
        <v>171317.6</v>
      </c>
      <c r="M144" s="196"/>
      <c r="P144" s="196"/>
    </row>
    <row r="145" spans="1:16" x14ac:dyDescent="0.25">
      <c r="A145" s="212" t="s">
        <v>297</v>
      </c>
      <c r="B145" s="207">
        <v>0</v>
      </c>
      <c r="D145" s="207">
        <v>0</v>
      </c>
      <c r="E145" s="209">
        <v>3</v>
      </c>
      <c r="F145" s="202">
        <f t="shared" si="12"/>
        <v>0</v>
      </c>
      <c r="H145" s="207">
        <v>0</v>
      </c>
      <c r="J145" s="202">
        <v>0</v>
      </c>
      <c r="K145" s="202">
        <f t="shared" si="13"/>
        <v>0</v>
      </c>
      <c r="L145" s="204">
        <f t="shared" si="14"/>
        <v>0</v>
      </c>
      <c r="M145" s="196"/>
      <c r="P145" s="196"/>
    </row>
    <row r="146" spans="1:16" x14ac:dyDescent="0.25">
      <c r="A146" s="212" t="s">
        <v>190</v>
      </c>
      <c r="B146" s="207">
        <v>31991.21</v>
      </c>
      <c r="D146" s="207">
        <v>0</v>
      </c>
      <c r="E146" s="209">
        <v>3</v>
      </c>
      <c r="F146" s="202">
        <f t="shared" si="12"/>
        <v>31991.21</v>
      </c>
      <c r="H146" s="202">
        <v>7554.17</v>
      </c>
      <c r="J146" s="202">
        <v>101545.4</v>
      </c>
      <c r="K146" s="202">
        <f t="shared" si="13"/>
        <v>141090.78</v>
      </c>
      <c r="L146" s="204">
        <f t="shared" si="14"/>
        <v>141090.78</v>
      </c>
      <c r="M146" s="196"/>
      <c r="P146" s="196"/>
    </row>
    <row r="147" spans="1:16" x14ac:dyDescent="0.25">
      <c r="A147" s="212" t="s">
        <v>191</v>
      </c>
      <c r="B147" s="207">
        <v>0</v>
      </c>
      <c r="D147" s="207">
        <v>0</v>
      </c>
      <c r="E147" s="209">
        <v>3</v>
      </c>
      <c r="F147" s="202">
        <f t="shared" si="12"/>
        <v>0</v>
      </c>
      <c r="H147" s="207">
        <v>0</v>
      </c>
      <c r="J147" s="202">
        <v>0</v>
      </c>
      <c r="K147" s="202">
        <f t="shared" si="13"/>
        <v>0</v>
      </c>
      <c r="L147" s="204">
        <f t="shared" si="14"/>
        <v>0</v>
      </c>
      <c r="M147" s="196"/>
      <c r="P147" s="196"/>
    </row>
    <row r="148" spans="1:16" x14ac:dyDescent="0.25">
      <c r="A148" s="212" t="s">
        <v>192</v>
      </c>
      <c r="B148" s="207">
        <v>29229.21</v>
      </c>
      <c r="D148" s="207">
        <v>0</v>
      </c>
      <c r="E148" s="209">
        <v>3</v>
      </c>
      <c r="F148" s="202">
        <f t="shared" si="12"/>
        <v>29229.21</v>
      </c>
      <c r="H148" s="202">
        <v>466446.72</v>
      </c>
      <c r="J148" s="202">
        <v>0</v>
      </c>
      <c r="K148" s="202">
        <f t="shared" si="13"/>
        <v>495675.93</v>
      </c>
      <c r="L148" s="204">
        <f t="shared" si="14"/>
        <v>495675.93</v>
      </c>
      <c r="M148" s="196"/>
      <c r="P148" s="196"/>
    </row>
    <row r="149" spans="1:16" x14ac:dyDescent="0.25">
      <c r="A149" s="212" t="s">
        <v>193</v>
      </c>
      <c r="B149" s="207">
        <v>0</v>
      </c>
      <c r="D149" s="207">
        <v>0</v>
      </c>
      <c r="E149" s="209">
        <v>3</v>
      </c>
      <c r="F149" s="202">
        <f t="shared" si="12"/>
        <v>0</v>
      </c>
      <c r="H149" s="202">
        <v>64881</v>
      </c>
      <c r="J149" s="202">
        <v>0</v>
      </c>
      <c r="K149" s="202">
        <f t="shared" si="13"/>
        <v>64881</v>
      </c>
      <c r="L149" s="204">
        <f t="shared" si="14"/>
        <v>64881</v>
      </c>
      <c r="M149" s="196"/>
      <c r="P149" s="196"/>
    </row>
    <row r="150" spans="1:16" x14ac:dyDescent="0.25">
      <c r="A150" s="212" t="s">
        <v>298</v>
      </c>
      <c r="B150" s="207">
        <v>0</v>
      </c>
      <c r="D150" s="207">
        <v>0</v>
      </c>
      <c r="E150" s="209">
        <v>3</v>
      </c>
      <c r="F150" s="202">
        <f t="shared" si="12"/>
        <v>0</v>
      </c>
      <c r="H150" s="217">
        <v>0</v>
      </c>
      <c r="J150" s="202">
        <v>0</v>
      </c>
      <c r="K150" s="202">
        <f t="shared" si="13"/>
        <v>0</v>
      </c>
      <c r="L150" s="204">
        <f t="shared" si="14"/>
        <v>0</v>
      </c>
      <c r="M150" s="196"/>
      <c r="P150" s="196"/>
    </row>
    <row r="151" spans="1:16" ht="13" thickBot="1" x14ac:dyDescent="0.3">
      <c r="A151" s="205" t="s">
        <v>299</v>
      </c>
      <c r="B151" s="207">
        <v>1724218.2</v>
      </c>
      <c r="D151" s="207">
        <v>1352358.61</v>
      </c>
      <c r="E151" s="206">
        <v>1</v>
      </c>
      <c r="F151" s="202">
        <f t="shared" si="12"/>
        <v>3076576.81</v>
      </c>
      <c r="H151" s="207">
        <v>647571.26</v>
      </c>
      <c r="J151" s="202">
        <v>3863513.94</v>
      </c>
      <c r="K151" s="202">
        <f t="shared" si="13"/>
        <v>7587662.0099999998</v>
      </c>
      <c r="L151" s="204">
        <f t="shared" si="14"/>
        <v>7587662.0099999998</v>
      </c>
      <c r="M151" s="196"/>
      <c r="P151" s="196"/>
    </row>
    <row r="152" spans="1:16" s="221" customFormat="1" ht="25.9" customHeight="1" thickBot="1" x14ac:dyDescent="0.35">
      <c r="A152" s="218" t="s">
        <v>0</v>
      </c>
      <c r="B152" s="219">
        <f>SUM(B3:B151)</f>
        <v>243894626.69999999</v>
      </c>
      <c r="D152" s="219">
        <f>SUM(D3:D151)</f>
        <v>150493367.59</v>
      </c>
      <c r="E152" s="219"/>
      <c r="F152" s="219">
        <f>SUM(F3:F151)</f>
        <v>394387994.2899999</v>
      </c>
      <c r="H152" s="219">
        <f>SUM(H3:H151)</f>
        <v>51162823.780000001</v>
      </c>
      <c r="J152" s="219">
        <f>SUM(J3:J151)</f>
        <v>193992768.25999996</v>
      </c>
      <c r="K152" s="219">
        <f>SUM(K3:K151)</f>
        <v>639543586.33000004</v>
      </c>
      <c r="L152" s="220">
        <f>SUM(L2:L151)</f>
        <v>639543586.33000004</v>
      </c>
    </row>
    <row r="153" spans="1:16" ht="13" thickBot="1" x14ac:dyDescent="0.3">
      <c r="A153" s="197"/>
      <c r="B153" s="198"/>
      <c r="C153" s="198"/>
      <c r="D153" s="217"/>
      <c r="E153" s="198"/>
      <c r="F153" s="198"/>
      <c r="G153" s="198"/>
      <c r="H153" s="217"/>
      <c r="I153" s="222"/>
      <c r="J153" s="335"/>
      <c r="K153" s="336"/>
      <c r="L153" s="196"/>
      <c r="M153" s="196"/>
      <c r="P153" s="196"/>
    </row>
    <row r="154" spans="1:16" ht="26" x14ac:dyDescent="0.25">
      <c r="A154" s="190"/>
      <c r="B154" s="192" t="s">
        <v>252</v>
      </c>
      <c r="C154" s="192"/>
      <c r="D154" s="193" t="s">
        <v>253</v>
      </c>
      <c r="E154" s="191"/>
      <c r="F154" s="193" t="s">
        <v>254</v>
      </c>
      <c r="G154" s="191"/>
      <c r="H154" s="193" t="s">
        <v>88</v>
      </c>
      <c r="I154" s="193"/>
      <c r="J154" s="194" t="s">
        <v>7</v>
      </c>
      <c r="K154" s="330"/>
      <c r="L154" s="195" t="s">
        <v>90</v>
      </c>
      <c r="M154" s="352"/>
      <c r="P154" s="196"/>
    </row>
    <row r="155" spans="1:16" x14ac:dyDescent="0.25">
      <c r="A155" s="205" t="s">
        <v>194</v>
      </c>
      <c r="B155" s="337">
        <v>64696593.25</v>
      </c>
      <c r="C155" s="338">
        <v>0.23427469751862376</v>
      </c>
      <c r="D155" s="337">
        <v>41110546.280000001</v>
      </c>
      <c r="E155" s="338">
        <v>0.2731718144018177</v>
      </c>
      <c r="F155" s="337">
        <v>105807139.52999997</v>
      </c>
      <c r="G155" s="338">
        <v>0.24799496781773211</v>
      </c>
      <c r="H155" s="207">
        <v>12851945.200000001</v>
      </c>
      <c r="I155" s="338">
        <f>+H155/H$160</f>
        <v>0.25119694830104239</v>
      </c>
      <c r="J155" s="337">
        <f>60864808.67-1567</f>
        <v>60863241.670000002</v>
      </c>
      <c r="K155" s="338">
        <v>0.31367076761943669</v>
      </c>
      <c r="L155" s="336">
        <f>F155+H155+J155</f>
        <v>179522326.39999998</v>
      </c>
      <c r="M155" s="339">
        <v>0.26717241305221867</v>
      </c>
      <c r="P155" s="196"/>
    </row>
    <row r="156" spans="1:16" x14ac:dyDescent="0.25">
      <c r="A156" s="197" t="s">
        <v>195</v>
      </c>
      <c r="B156" s="337">
        <v>1624734.02</v>
      </c>
      <c r="C156" s="338">
        <v>5.8833711631905376E-3</v>
      </c>
      <c r="D156" s="337">
        <v>13707547</v>
      </c>
      <c r="E156" s="338">
        <v>9.108406051052341E-2</v>
      </c>
      <c r="F156" s="337">
        <v>15332281.02</v>
      </c>
      <c r="G156" s="338">
        <v>3.5936408025180888E-2</v>
      </c>
      <c r="H156" s="207">
        <v>13796269.66</v>
      </c>
      <c r="I156" s="338">
        <f>+H156/H$160</f>
        <v>0.26965418717551481</v>
      </c>
      <c r="J156" s="337">
        <v>21075320.789999995</v>
      </c>
      <c r="K156" s="338">
        <v>0.10861304248679197</v>
      </c>
      <c r="L156" s="336">
        <f>F156+H156+J156</f>
        <v>50203871.469999999</v>
      </c>
      <c r="M156" s="339">
        <v>7.4714787158260951E-2</v>
      </c>
      <c r="P156" s="196"/>
    </row>
    <row r="157" spans="1:16" x14ac:dyDescent="0.25">
      <c r="A157" s="212" t="s">
        <v>84</v>
      </c>
      <c r="B157" s="337">
        <v>5983212.54</v>
      </c>
      <c r="C157" s="338">
        <v>2.1665983285729447E-2</v>
      </c>
      <c r="D157" s="337">
        <v>3205438.75</v>
      </c>
      <c r="E157" s="338">
        <v>2.1299534998331687E-2</v>
      </c>
      <c r="F157" s="337">
        <v>9188651.2899999991</v>
      </c>
      <c r="G157" s="338">
        <v>2.1536725130971067E-2</v>
      </c>
      <c r="H157" s="207">
        <f>20062573.4-86636.33</f>
        <v>19975937.07</v>
      </c>
      <c r="I157" s="338">
        <f>+H157/H$160</f>
        <v>0.39043851754345055</v>
      </c>
      <c r="J157" s="337">
        <v>43776807.059999995</v>
      </c>
      <c r="K157" s="338">
        <v>0.2256066350078971</v>
      </c>
      <c r="L157" s="336">
        <f>F157+H157+J157</f>
        <v>72941395.419999987</v>
      </c>
      <c r="M157" s="339">
        <v>0.10868233243821535</v>
      </c>
      <c r="P157" s="196"/>
    </row>
    <row r="158" spans="1:16" x14ac:dyDescent="0.25">
      <c r="A158" s="197" t="s">
        <v>124</v>
      </c>
      <c r="B158" s="337">
        <f>203852441.44-B163</f>
        <v>171590086.88999999</v>
      </c>
      <c r="C158" s="338">
        <v>0.73817594803245623</v>
      </c>
      <c r="D158" s="337">
        <v>92469835.559999987</v>
      </c>
      <c r="E158" s="338">
        <v>0.61444459008932728</v>
      </c>
      <c r="F158" s="337">
        <f>B158+D158</f>
        <v>264059922.44999999</v>
      </c>
      <c r="G158" s="338">
        <v>0.6945318990261159</v>
      </c>
      <c r="H158" s="207">
        <v>4538671.8499999996</v>
      </c>
      <c r="I158" s="338">
        <f>+H158/H$160</f>
        <v>8.8710346979992263E-2</v>
      </c>
      <c r="J158" s="337">
        <f>68323487.24-46088.5</f>
        <v>68277398.739999995</v>
      </c>
      <c r="K158" s="338">
        <v>0.35210955488587425</v>
      </c>
      <c r="L158" s="336">
        <f>F158+H158+J158</f>
        <v>336875993.04000002</v>
      </c>
      <c r="M158" s="339">
        <v>0.54943046735130496</v>
      </c>
      <c r="P158" s="196"/>
    </row>
    <row r="159" spans="1:16" ht="13" thickBot="1" x14ac:dyDescent="0.3">
      <c r="A159" s="197"/>
      <c r="B159" s="223"/>
      <c r="C159" s="223"/>
      <c r="D159" s="340"/>
      <c r="E159" s="224"/>
      <c r="F159" s="224"/>
      <c r="G159" s="224"/>
      <c r="H159" s="340"/>
      <c r="I159" s="445"/>
      <c r="J159" s="341"/>
      <c r="K159" s="224"/>
      <c r="L159" s="225"/>
      <c r="M159" s="342"/>
      <c r="P159" s="196"/>
    </row>
    <row r="160" spans="1:16" ht="30" customHeight="1" thickBot="1" x14ac:dyDescent="0.35">
      <c r="A160" s="218" t="s">
        <v>0</v>
      </c>
      <c r="B160" s="343">
        <f>B155+B156+B157+B158</f>
        <v>243894626.69999999</v>
      </c>
      <c r="C160" s="344">
        <v>1</v>
      </c>
      <c r="D160" s="343">
        <f>D155+D156+D157+D158</f>
        <v>150493367.58999997</v>
      </c>
      <c r="E160" s="344">
        <v>1</v>
      </c>
      <c r="F160" s="343">
        <f>F155+F156+F157+F158</f>
        <v>394387994.28999996</v>
      </c>
      <c r="G160" s="344">
        <v>1</v>
      </c>
      <c r="H160" s="343">
        <f>H155+H156+H157+H158</f>
        <v>51162823.780000001</v>
      </c>
      <c r="I160" s="344">
        <f>+H160/H160</f>
        <v>1</v>
      </c>
      <c r="J160" s="343">
        <f>J155+J156+J157+J158</f>
        <v>193992768.25999999</v>
      </c>
      <c r="K160" s="344">
        <v>1</v>
      </c>
      <c r="L160" s="346">
        <f>F160+H160+J160</f>
        <v>639543586.32999992</v>
      </c>
      <c r="M160" s="345">
        <v>1</v>
      </c>
      <c r="P160" s="196"/>
    </row>
    <row r="161" spans="1:16" x14ac:dyDescent="0.25">
      <c r="I161" s="230"/>
      <c r="J161" s="233"/>
      <c r="L161" s="234"/>
      <c r="M161" s="231"/>
      <c r="P161" s="196"/>
    </row>
    <row r="162" spans="1:16" ht="15.5" x14ac:dyDescent="0.35">
      <c r="A162" s="196"/>
      <c r="B162" s="347"/>
      <c r="I162" s="230"/>
      <c r="J162" s="233"/>
      <c r="L162" s="234"/>
      <c r="M162" s="231"/>
      <c r="P162" s="196"/>
    </row>
    <row r="163" spans="1:16" x14ac:dyDescent="0.25">
      <c r="A163" s="416" t="s">
        <v>534</v>
      </c>
      <c r="B163" s="418">
        <v>32262354.550000001</v>
      </c>
      <c r="C163" s="196"/>
      <c r="D163" s="418">
        <v>0</v>
      </c>
      <c r="E163" s="196"/>
      <c r="F163" s="418">
        <f>+B163+D163</f>
        <v>32262354.550000001</v>
      </c>
      <c r="G163" s="419"/>
      <c r="H163" s="418"/>
      <c r="I163" s="418"/>
      <c r="J163" s="418">
        <v>46088.5</v>
      </c>
      <c r="K163" s="419"/>
      <c r="L163" s="418">
        <f>F163+H163+J163</f>
        <v>32308443.050000001</v>
      </c>
      <c r="M163" s="419"/>
      <c r="P163" s="196"/>
    </row>
    <row r="164" spans="1:16" x14ac:dyDescent="0.25">
      <c r="A164" s="423" t="s">
        <v>535</v>
      </c>
      <c r="B164" s="425"/>
      <c r="C164" s="196"/>
      <c r="D164" s="425"/>
      <c r="E164" s="196"/>
      <c r="F164" s="425"/>
      <c r="G164" s="426"/>
      <c r="H164" s="425"/>
      <c r="I164" s="425"/>
      <c r="J164" s="425">
        <v>1567</v>
      </c>
      <c r="K164" s="426"/>
      <c r="L164" s="425">
        <f>F164+H164+J164</f>
        <v>1567</v>
      </c>
      <c r="M164" s="426"/>
      <c r="P164" s="196"/>
    </row>
    <row r="165" spans="1:16" ht="13" thickBot="1" x14ac:dyDescent="0.3">
      <c r="A165" s="427" t="s">
        <v>536</v>
      </c>
      <c r="B165" s="429"/>
      <c r="C165" s="196"/>
      <c r="D165" s="429"/>
      <c r="E165" s="196"/>
      <c r="F165" s="429"/>
      <c r="G165" s="430"/>
      <c r="H165" s="429">
        <v>86636.33</v>
      </c>
      <c r="I165" s="429"/>
      <c r="J165" s="429"/>
      <c r="K165" s="430"/>
      <c r="L165" s="429">
        <f>F165+H165+J165</f>
        <v>86636.33</v>
      </c>
      <c r="M165" s="430"/>
      <c r="P165" s="196"/>
    </row>
    <row r="166" spans="1:16" ht="13" thickTop="1" x14ac:dyDescent="0.25">
      <c r="A166" s="423" t="s">
        <v>537</v>
      </c>
      <c r="B166" s="425">
        <f>SUM(B163:B165)</f>
        <v>32262354.550000001</v>
      </c>
      <c r="C166" s="196"/>
      <c r="D166" s="425">
        <f>SUM(D163:D165)</f>
        <v>0</v>
      </c>
      <c r="E166" s="196"/>
      <c r="F166" s="425">
        <f>SUM(F163:F165)</f>
        <v>32262354.550000001</v>
      </c>
      <c r="G166" s="426"/>
      <c r="H166" s="425">
        <f>SUM(H163:H165)</f>
        <v>86636.33</v>
      </c>
      <c r="I166" s="425"/>
      <c r="J166" s="425">
        <f>SUM(J163:J165)</f>
        <v>47655.5</v>
      </c>
      <c r="K166" s="426"/>
      <c r="L166" s="425">
        <f>F166+H166+J166</f>
        <v>32396646.379999999</v>
      </c>
      <c r="M166" s="426"/>
      <c r="P166" s="196"/>
    </row>
    <row r="167" spans="1:16" ht="16" thickBot="1" x14ac:dyDescent="0.4">
      <c r="A167" s="147"/>
      <c r="B167" s="434"/>
      <c r="C167" s="196"/>
      <c r="D167" s="348"/>
      <c r="E167" s="196"/>
      <c r="F167" s="424"/>
      <c r="G167" s="434"/>
      <c r="H167" s="435"/>
      <c r="I167" s="435"/>
      <c r="J167" s="328"/>
      <c r="K167" s="424"/>
      <c r="L167" s="443"/>
      <c r="M167" s="435"/>
      <c r="P167" s="196"/>
    </row>
    <row r="168" spans="1:16" ht="13.5" thickBot="1" x14ac:dyDescent="0.35">
      <c r="A168" s="436" t="s">
        <v>538</v>
      </c>
      <c r="B168" s="438">
        <f>+B166+B160</f>
        <v>276156981.25</v>
      </c>
      <c r="C168" s="196"/>
      <c r="D168" s="438">
        <f>D166+D160</f>
        <v>150493367.58999997</v>
      </c>
      <c r="E168" s="196"/>
      <c r="F168" s="438">
        <f>+F166+F160</f>
        <v>426650348.83999997</v>
      </c>
      <c r="G168" s="439"/>
      <c r="H168" s="438">
        <f>+H166+H160</f>
        <v>51249460.109999999</v>
      </c>
      <c r="I168" s="438"/>
      <c r="J168" s="438">
        <f>+J166+J160</f>
        <v>194040423.75999999</v>
      </c>
      <c r="K168" s="441"/>
      <c r="L168" s="444">
        <f>L166+L160</f>
        <v>671940232.70999992</v>
      </c>
      <c r="M168" s="442"/>
      <c r="P168" s="196"/>
    </row>
    <row r="169" spans="1:16" x14ac:dyDescent="0.25">
      <c r="A169" s="196"/>
      <c r="G169" s="226"/>
      <c r="J169" s="228"/>
      <c r="P169" s="196"/>
    </row>
    <row r="170" spans="1:16" x14ac:dyDescent="0.25">
      <c r="C170" s="231"/>
      <c r="D170" s="230"/>
      <c r="H170" s="233"/>
      <c r="I170" s="234"/>
      <c r="K170" s="231"/>
      <c r="L170" s="229"/>
      <c r="M170" s="196"/>
      <c r="P170" s="196"/>
    </row>
    <row r="171" spans="1:16" x14ac:dyDescent="0.25">
      <c r="C171" s="231"/>
      <c r="D171" s="230"/>
      <c r="H171" s="233"/>
      <c r="I171" s="234"/>
      <c r="K171" s="231"/>
      <c r="L171" s="229"/>
      <c r="M171" s="196"/>
      <c r="O171" s="229"/>
      <c r="P171" s="196"/>
    </row>
    <row r="172" spans="1:16" x14ac:dyDescent="0.25">
      <c r="C172" s="231"/>
      <c r="D172" s="230"/>
      <c r="H172" s="233"/>
      <c r="I172" s="234"/>
      <c r="K172" s="231"/>
      <c r="L172" s="229"/>
      <c r="M172" s="196"/>
      <c r="O172" s="229"/>
      <c r="P172" s="196"/>
    </row>
    <row r="173" spans="1:16" ht="15.5" x14ac:dyDescent="0.35">
      <c r="A173" s="196"/>
      <c r="C173" s="231"/>
      <c r="D173" s="230"/>
      <c r="H173" s="233"/>
      <c r="I173" s="234"/>
      <c r="K173" s="348"/>
      <c r="L173" s="229"/>
      <c r="M173" s="196"/>
      <c r="P173" s="196"/>
    </row>
    <row r="174" spans="1:16" x14ac:dyDescent="0.25">
      <c r="C174" s="231"/>
      <c r="D174" s="230"/>
      <c r="H174" s="233"/>
      <c r="I174" s="234"/>
      <c r="K174" s="231"/>
      <c r="L174" s="229"/>
      <c r="M174" s="196"/>
      <c r="O174" s="229"/>
      <c r="P174" s="196"/>
    </row>
    <row r="175" spans="1:16" x14ac:dyDescent="0.25">
      <c r="C175" s="231"/>
      <c r="D175" s="230"/>
      <c r="H175" s="233"/>
      <c r="I175" s="234"/>
      <c r="K175" s="231"/>
      <c r="L175" s="229"/>
      <c r="M175" s="196"/>
      <c r="O175" s="229"/>
      <c r="P175" s="196"/>
    </row>
    <row r="176" spans="1:16" x14ac:dyDescent="0.25">
      <c r="C176" s="231"/>
      <c r="D176" s="230"/>
      <c r="H176" s="233"/>
      <c r="I176" s="234"/>
      <c r="K176" s="231"/>
      <c r="L176" s="229"/>
      <c r="M176" s="196"/>
      <c r="O176" s="229"/>
      <c r="P176" s="196"/>
    </row>
  </sheetData>
  <printOptions horizontalCentered="1"/>
  <pageMargins left="0.39370078740157483" right="0.39370078740157483" top="0.39370078740157483" bottom="0.39370078740157483" header="0.39370078740157483" footer="0"/>
  <pageSetup paperSize="8" scale="6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T167"/>
  <sheetViews>
    <sheetView showRuler="0" topLeftCell="A142" zoomScaleNormal="100" workbookViewId="0">
      <pane xSplit="1" topLeftCell="C1" activePane="topRight" state="frozen"/>
      <selection activeCell="T161" sqref="T161"/>
      <selection pane="topRight" activeCell="I155" sqref="I155"/>
    </sheetView>
  </sheetViews>
  <sheetFormatPr baseColWidth="10" defaultColWidth="15.58203125" defaultRowHeight="12.5" x14ac:dyDescent="0.25"/>
  <cols>
    <col min="1" max="1" width="15.58203125" style="231"/>
    <col min="2" max="2" width="0" style="230" hidden="1" customWidth="1"/>
    <col min="3" max="3" width="13.58203125" style="231" customWidth="1"/>
    <col min="4" max="4" width="5.5" style="230" customWidth="1"/>
    <col min="5" max="5" width="12.58203125" style="230" customWidth="1"/>
    <col min="6" max="6" width="4.25" style="233" customWidth="1"/>
    <col min="7" max="7" width="8.08203125" style="234" customWidth="1"/>
    <col min="8" max="8" width="4" style="196" customWidth="1"/>
    <col min="9" max="9" width="15.58203125" style="196"/>
    <col min="10" max="10" width="6.33203125" style="196" customWidth="1"/>
    <col min="11" max="11" width="15.58203125" style="229"/>
    <col min="12" max="12" width="7.25" style="196" customWidth="1"/>
    <col min="13" max="13" width="15.58203125" style="196"/>
    <col min="14" max="14" width="6.83203125" style="196" customWidth="1"/>
    <col min="15" max="15" width="15.58203125" style="196"/>
    <col min="16" max="16" width="6.58203125" style="196" customWidth="1"/>
    <col min="17" max="19" width="0" style="196" hidden="1" customWidth="1"/>
    <col min="20" max="16384" width="15.58203125" style="196"/>
  </cols>
  <sheetData>
    <row r="1" spans="1:19" ht="37.15" customHeight="1" x14ac:dyDescent="0.35">
      <c r="A1" s="446"/>
      <c r="B1" s="447"/>
      <c r="C1" s="448" t="s">
        <v>252</v>
      </c>
      <c r="D1" s="448"/>
      <c r="E1" s="449" t="s">
        <v>253</v>
      </c>
      <c r="F1" s="447"/>
      <c r="G1" s="447"/>
      <c r="H1" s="447"/>
      <c r="I1" s="449" t="s">
        <v>254</v>
      </c>
      <c r="J1" s="447"/>
      <c r="K1" s="449" t="s">
        <v>88</v>
      </c>
      <c r="L1" s="450"/>
      <c r="M1" s="451" t="s">
        <v>7</v>
      </c>
      <c r="N1" s="452"/>
      <c r="O1" s="453" t="s">
        <v>90</v>
      </c>
      <c r="P1" s="452"/>
      <c r="Q1" s="453" t="s">
        <v>89</v>
      </c>
      <c r="S1" s="454"/>
    </row>
    <row r="2" spans="1:19" ht="15.5" x14ac:dyDescent="0.35">
      <c r="A2" s="455"/>
      <c r="B2" s="456"/>
      <c r="C2" s="457"/>
      <c r="D2" s="456"/>
      <c r="E2" s="458"/>
      <c r="F2" s="456"/>
      <c r="G2" s="456"/>
      <c r="H2" s="456"/>
      <c r="I2" s="456"/>
      <c r="J2" s="456"/>
      <c r="K2" s="459"/>
      <c r="L2" s="459"/>
      <c r="M2" s="460"/>
      <c r="N2" s="461"/>
      <c r="O2" s="462"/>
      <c r="P2" s="461"/>
      <c r="Q2" s="462"/>
      <c r="R2" s="462"/>
      <c r="S2" s="463"/>
    </row>
    <row r="3" spans="1:19" ht="15.5" x14ac:dyDescent="0.35">
      <c r="A3" s="464" t="s">
        <v>91</v>
      </c>
      <c r="B3" s="465"/>
      <c r="C3" s="466">
        <v>6623795.3799999999</v>
      </c>
      <c r="D3" s="465"/>
      <c r="E3" s="466">
        <f>153309.38+372457.49</f>
        <v>525766.87</v>
      </c>
      <c r="F3" s="465"/>
      <c r="G3" s="465"/>
      <c r="H3" s="465">
        <v>1</v>
      </c>
      <c r="I3" s="460">
        <f>+C3+E3</f>
        <v>7149562.25</v>
      </c>
      <c r="J3" s="465"/>
      <c r="K3" s="460">
        <f>510043-115</f>
        <v>509928</v>
      </c>
      <c r="L3" s="460"/>
      <c r="M3" s="460">
        <v>9072513.1600000001</v>
      </c>
      <c r="N3" s="461"/>
      <c r="O3" s="463">
        <f t="shared" ref="O3:O66" si="0">+M3+K3+I3</f>
        <v>16732003.41</v>
      </c>
      <c r="P3" s="461"/>
      <c r="Q3" s="463"/>
      <c r="R3" s="463">
        <f>+Q3+O3</f>
        <v>16732003.41</v>
      </c>
      <c r="S3" s="463"/>
    </row>
    <row r="4" spans="1:19" ht="15.5" x14ac:dyDescent="0.35">
      <c r="A4" s="467" t="s">
        <v>256</v>
      </c>
      <c r="B4" s="468"/>
      <c r="C4" s="466">
        <v>0</v>
      </c>
      <c r="D4" s="468"/>
      <c r="E4" s="466">
        <v>0</v>
      </c>
      <c r="F4" s="468"/>
      <c r="G4" s="468"/>
      <c r="H4" s="468">
        <v>3</v>
      </c>
      <c r="I4" s="460">
        <f t="shared" ref="I4:I68" si="1">+C4+E4</f>
        <v>0</v>
      </c>
      <c r="J4" s="468"/>
      <c r="K4" s="466">
        <v>0</v>
      </c>
      <c r="L4" s="466"/>
      <c r="M4" s="460">
        <v>0</v>
      </c>
      <c r="N4" s="461"/>
      <c r="O4" s="463">
        <f t="shared" si="0"/>
        <v>0</v>
      </c>
      <c r="P4" s="461"/>
      <c r="Q4" s="463"/>
      <c r="R4" s="463">
        <f t="shared" ref="R4:R67" si="2">+Q4+O4</f>
        <v>0</v>
      </c>
      <c r="S4" s="463"/>
    </row>
    <row r="5" spans="1:19" ht="15.5" x14ac:dyDescent="0.35">
      <c r="A5" s="469" t="s">
        <v>92</v>
      </c>
      <c r="B5" s="470"/>
      <c r="C5" s="466">
        <v>678443.56</v>
      </c>
      <c r="D5" s="470"/>
      <c r="E5" s="466">
        <v>0</v>
      </c>
      <c r="F5" s="470"/>
      <c r="G5" s="470"/>
      <c r="H5" s="470">
        <v>3</v>
      </c>
      <c r="I5" s="460">
        <f t="shared" si="1"/>
        <v>678443.56</v>
      </c>
      <c r="J5" s="470"/>
      <c r="K5" s="460">
        <v>1489008.18</v>
      </c>
      <c r="L5" s="460"/>
      <c r="M5" s="460">
        <v>18554.78</v>
      </c>
      <c r="N5" s="461"/>
      <c r="O5" s="463">
        <f t="shared" si="0"/>
        <v>2186006.52</v>
      </c>
      <c r="P5" s="461"/>
      <c r="Q5" s="463"/>
      <c r="R5" s="463">
        <f t="shared" si="2"/>
        <v>2186006.52</v>
      </c>
      <c r="S5" s="463"/>
    </row>
    <row r="6" spans="1:19" ht="15.5" x14ac:dyDescent="0.35">
      <c r="A6" s="467" t="s">
        <v>93</v>
      </c>
      <c r="B6" s="468"/>
      <c r="C6" s="466">
        <v>0</v>
      </c>
      <c r="D6" s="468"/>
      <c r="E6" s="466">
        <f>45000+22500</f>
        <v>67500</v>
      </c>
      <c r="F6" s="468"/>
      <c r="G6" s="468"/>
      <c r="H6" s="468">
        <v>3</v>
      </c>
      <c r="I6" s="460">
        <f t="shared" si="1"/>
        <v>67500</v>
      </c>
      <c r="J6" s="468"/>
      <c r="K6" s="466">
        <v>504936.79</v>
      </c>
      <c r="L6" s="466"/>
      <c r="M6" s="460">
        <v>257400</v>
      </c>
      <c r="N6" s="461"/>
      <c r="O6" s="463">
        <f t="shared" si="0"/>
        <v>829836.79</v>
      </c>
      <c r="P6" s="461"/>
      <c r="Q6" s="463"/>
      <c r="R6" s="463">
        <f t="shared" si="2"/>
        <v>829836.79</v>
      </c>
      <c r="S6" s="463"/>
    </row>
    <row r="7" spans="1:19" ht="15.5" x14ac:dyDescent="0.35">
      <c r="A7" s="471" t="s">
        <v>94</v>
      </c>
      <c r="B7" s="468"/>
      <c r="C7" s="466">
        <v>165586.18</v>
      </c>
      <c r="D7" s="468"/>
      <c r="E7" s="466">
        <v>0</v>
      </c>
      <c r="F7" s="468"/>
      <c r="G7" s="468"/>
      <c r="H7" s="468">
        <v>3</v>
      </c>
      <c r="I7" s="460">
        <f t="shared" si="1"/>
        <v>165586.18</v>
      </c>
      <c r="J7" s="468"/>
      <c r="K7" s="460">
        <v>562239.22</v>
      </c>
      <c r="L7" s="460"/>
      <c r="M7" s="460">
        <v>1195205.18</v>
      </c>
      <c r="N7" s="461"/>
      <c r="O7" s="463">
        <f t="shared" si="0"/>
        <v>1923030.5799999998</v>
      </c>
      <c r="P7" s="461"/>
      <c r="Q7" s="463"/>
      <c r="R7" s="463">
        <f t="shared" si="2"/>
        <v>1923030.5799999998</v>
      </c>
      <c r="S7" s="463"/>
    </row>
    <row r="8" spans="1:19" ht="15.5" x14ac:dyDescent="0.35">
      <c r="A8" s="471" t="s">
        <v>257</v>
      </c>
      <c r="B8" s="468"/>
      <c r="C8" s="466">
        <v>0</v>
      </c>
      <c r="D8" s="468"/>
      <c r="E8" s="466">
        <v>0</v>
      </c>
      <c r="F8" s="468"/>
      <c r="G8" s="468"/>
      <c r="H8" s="468">
        <v>3</v>
      </c>
      <c r="I8" s="460">
        <f t="shared" si="1"/>
        <v>0</v>
      </c>
      <c r="J8" s="468"/>
      <c r="K8" s="460">
        <v>0</v>
      </c>
      <c r="L8" s="460"/>
      <c r="M8" s="460">
        <v>0</v>
      </c>
      <c r="N8" s="461"/>
      <c r="O8" s="463">
        <f t="shared" si="0"/>
        <v>0</v>
      </c>
      <c r="P8" s="461"/>
      <c r="Q8" s="463"/>
      <c r="R8" s="463">
        <f t="shared" si="2"/>
        <v>0</v>
      </c>
      <c r="S8" s="463"/>
    </row>
    <row r="9" spans="1:19" ht="15.5" x14ac:dyDescent="0.35">
      <c r="A9" s="455" t="s">
        <v>95</v>
      </c>
      <c r="B9" s="456"/>
      <c r="C9" s="466">
        <v>24693.68</v>
      </c>
      <c r="D9" s="456"/>
      <c r="E9" s="466">
        <v>0</v>
      </c>
      <c r="F9" s="456"/>
      <c r="G9" s="456"/>
      <c r="H9" s="456">
        <v>2</v>
      </c>
      <c r="I9" s="460">
        <f t="shared" si="1"/>
        <v>24693.68</v>
      </c>
      <c r="J9" s="456"/>
      <c r="K9" s="466">
        <v>5148.18</v>
      </c>
      <c r="L9" s="466"/>
      <c r="M9" s="460">
        <v>0</v>
      </c>
      <c r="N9" s="461"/>
      <c r="O9" s="463">
        <f t="shared" si="0"/>
        <v>29841.86</v>
      </c>
      <c r="P9" s="461"/>
      <c r="Q9" s="463"/>
      <c r="R9" s="463">
        <f t="shared" si="2"/>
        <v>29841.86</v>
      </c>
      <c r="S9" s="463"/>
    </row>
    <row r="10" spans="1:19" ht="15.5" x14ac:dyDescent="0.35">
      <c r="A10" s="464" t="s">
        <v>96</v>
      </c>
      <c r="B10" s="465"/>
      <c r="C10" s="466">
        <v>61998.400000000001</v>
      </c>
      <c r="D10" s="465"/>
      <c r="E10" s="466">
        <v>0</v>
      </c>
      <c r="F10" s="465"/>
      <c r="G10" s="465"/>
      <c r="H10" s="465">
        <v>1</v>
      </c>
      <c r="I10" s="460">
        <f t="shared" si="1"/>
        <v>61998.400000000001</v>
      </c>
      <c r="J10" s="465"/>
      <c r="K10" s="466">
        <v>0</v>
      </c>
      <c r="L10" s="466"/>
      <c r="M10" s="460">
        <v>1788854.2</v>
      </c>
      <c r="N10" s="461"/>
      <c r="O10" s="463">
        <f t="shared" si="0"/>
        <v>1850852.5999999999</v>
      </c>
      <c r="P10" s="461"/>
      <c r="Q10" s="463"/>
      <c r="R10" s="463">
        <f t="shared" si="2"/>
        <v>1850852.5999999999</v>
      </c>
      <c r="S10" s="463"/>
    </row>
    <row r="11" spans="1:19" ht="15.5" x14ac:dyDescent="0.35">
      <c r="A11" s="471" t="s">
        <v>97</v>
      </c>
      <c r="B11" s="468"/>
      <c r="C11" s="466">
        <v>531238.91</v>
      </c>
      <c r="D11" s="468"/>
      <c r="E11" s="466">
        <v>0</v>
      </c>
      <c r="F11" s="468"/>
      <c r="G11" s="468"/>
      <c r="H11" s="468">
        <v>3</v>
      </c>
      <c r="I11" s="460">
        <f t="shared" si="1"/>
        <v>531238.91</v>
      </c>
      <c r="J11" s="468"/>
      <c r="K11" s="460">
        <v>259515.48</v>
      </c>
      <c r="L11" s="460"/>
      <c r="M11" s="460">
        <v>3839697.35</v>
      </c>
      <c r="N11" s="461"/>
      <c r="O11" s="463">
        <f t="shared" si="0"/>
        <v>4630451.74</v>
      </c>
      <c r="P11" s="461"/>
      <c r="Q11" s="463"/>
      <c r="R11" s="463">
        <f t="shared" si="2"/>
        <v>4630451.74</v>
      </c>
      <c r="S11" s="463"/>
    </row>
    <row r="12" spans="1:19" ht="15.5" x14ac:dyDescent="0.35">
      <c r="A12" s="471" t="s">
        <v>98</v>
      </c>
      <c r="B12" s="468"/>
      <c r="C12" s="466">
        <v>140505</v>
      </c>
      <c r="D12" s="468"/>
      <c r="E12" s="466">
        <v>0</v>
      </c>
      <c r="F12" s="468"/>
      <c r="G12" s="468"/>
      <c r="H12" s="468">
        <v>3</v>
      </c>
      <c r="I12" s="460">
        <f t="shared" si="1"/>
        <v>140505</v>
      </c>
      <c r="J12" s="468"/>
      <c r="K12" s="466">
        <v>0</v>
      </c>
      <c r="L12" s="466"/>
      <c r="M12" s="460">
        <v>0</v>
      </c>
      <c r="N12" s="461"/>
      <c r="O12" s="463">
        <f t="shared" si="0"/>
        <v>140505</v>
      </c>
      <c r="P12" s="461"/>
      <c r="Q12" s="463"/>
      <c r="R12" s="463">
        <f t="shared" si="2"/>
        <v>140505</v>
      </c>
      <c r="S12" s="463"/>
    </row>
    <row r="13" spans="1:19" ht="15.5" x14ac:dyDescent="0.35">
      <c r="A13" s="471" t="s">
        <v>99</v>
      </c>
      <c r="B13" s="468"/>
      <c r="C13" s="466">
        <v>0</v>
      </c>
      <c r="D13" s="468"/>
      <c r="E13" s="466">
        <v>0</v>
      </c>
      <c r="F13" s="468"/>
      <c r="G13" s="468"/>
      <c r="H13" s="468">
        <v>3</v>
      </c>
      <c r="I13" s="460">
        <f t="shared" si="1"/>
        <v>0</v>
      </c>
      <c r="J13" s="468"/>
      <c r="K13" s="466">
        <v>0</v>
      </c>
      <c r="L13" s="466"/>
      <c r="M13" s="460">
        <v>0</v>
      </c>
      <c r="N13" s="461"/>
      <c r="O13" s="463">
        <f t="shared" si="0"/>
        <v>0</v>
      </c>
      <c r="P13" s="461"/>
      <c r="Q13" s="463"/>
      <c r="R13" s="463">
        <f t="shared" si="2"/>
        <v>0</v>
      </c>
      <c r="S13" s="463"/>
    </row>
    <row r="14" spans="1:19" ht="15.5" x14ac:dyDescent="0.35">
      <c r="A14" s="464" t="s">
        <v>100</v>
      </c>
      <c r="B14" s="465"/>
      <c r="C14" s="466">
        <v>419450.47</v>
      </c>
      <c r="D14" s="465"/>
      <c r="E14" s="466">
        <f>275544.9+209379.4</f>
        <v>484924.30000000005</v>
      </c>
      <c r="F14" s="465"/>
      <c r="G14" s="465"/>
      <c r="H14" s="465">
        <v>1</v>
      </c>
      <c r="I14" s="460">
        <f t="shared" si="1"/>
        <v>904374.77</v>
      </c>
      <c r="J14" s="465"/>
      <c r="K14" s="460">
        <v>0</v>
      </c>
      <c r="L14" s="460"/>
      <c r="M14" s="460">
        <v>2470185.25</v>
      </c>
      <c r="N14" s="461"/>
      <c r="O14" s="463">
        <f t="shared" si="0"/>
        <v>3374560.02</v>
      </c>
      <c r="P14" s="461"/>
      <c r="Q14" s="463"/>
      <c r="R14" s="463">
        <f t="shared" si="2"/>
        <v>3374560.02</v>
      </c>
      <c r="S14" s="463"/>
    </row>
    <row r="15" spans="1:19" s="213" customFormat="1" ht="15.5" x14ac:dyDescent="0.35">
      <c r="A15" s="471" t="s">
        <v>258</v>
      </c>
      <c r="B15" s="468"/>
      <c r="C15" s="466">
        <v>0</v>
      </c>
      <c r="D15" s="468"/>
      <c r="E15" s="466">
        <v>0</v>
      </c>
      <c r="F15" s="468"/>
      <c r="G15" s="468"/>
      <c r="H15" s="468">
        <v>3</v>
      </c>
      <c r="I15" s="460">
        <f t="shared" si="1"/>
        <v>0</v>
      </c>
      <c r="J15" s="468"/>
      <c r="K15" s="466">
        <v>0</v>
      </c>
      <c r="L15" s="466"/>
      <c r="M15" s="460">
        <v>0</v>
      </c>
      <c r="N15" s="461"/>
      <c r="O15" s="463">
        <f t="shared" si="0"/>
        <v>0</v>
      </c>
      <c r="P15" s="461"/>
      <c r="Q15" s="463"/>
      <c r="R15" s="463">
        <f t="shared" si="2"/>
        <v>0</v>
      </c>
      <c r="S15" s="463"/>
    </row>
    <row r="16" spans="1:19" ht="15.5" x14ac:dyDescent="0.35">
      <c r="A16" s="471" t="s">
        <v>101</v>
      </c>
      <c r="B16" s="468"/>
      <c r="C16" s="466">
        <v>4450</v>
      </c>
      <c r="D16" s="468"/>
      <c r="E16" s="466">
        <v>0</v>
      </c>
      <c r="F16" s="468"/>
      <c r="G16" s="468"/>
      <c r="H16" s="468">
        <v>3</v>
      </c>
      <c r="I16" s="460">
        <f t="shared" si="1"/>
        <v>4450</v>
      </c>
      <c r="J16" s="468"/>
      <c r="K16" s="466">
        <v>0</v>
      </c>
      <c r="L16" s="466"/>
      <c r="M16" s="460">
        <v>251960</v>
      </c>
      <c r="N16" s="461"/>
      <c r="O16" s="463">
        <f t="shared" si="0"/>
        <v>256410</v>
      </c>
      <c r="P16" s="461"/>
      <c r="Q16" s="463"/>
      <c r="R16" s="463">
        <f t="shared" si="2"/>
        <v>256410</v>
      </c>
      <c r="S16" s="463"/>
    </row>
    <row r="17" spans="1:19" ht="15.5" x14ac:dyDescent="0.35">
      <c r="A17" s="471" t="s">
        <v>259</v>
      </c>
      <c r="B17" s="468"/>
      <c r="C17" s="466">
        <v>0</v>
      </c>
      <c r="D17" s="468"/>
      <c r="E17" s="466">
        <v>0</v>
      </c>
      <c r="F17" s="468"/>
      <c r="G17" s="468"/>
      <c r="H17" s="468">
        <v>3</v>
      </c>
      <c r="I17" s="460">
        <f t="shared" si="1"/>
        <v>0</v>
      </c>
      <c r="J17" s="468"/>
      <c r="K17" s="466">
        <v>0</v>
      </c>
      <c r="L17" s="466"/>
      <c r="M17" s="460">
        <v>0</v>
      </c>
      <c r="N17" s="461"/>
      <c r="O17" s="463">
        <f t="shared" si="0"/>
        <v>0</v>
      </c>
      <c r="P17" s="461"/>
      <c r="Q17" s="463"/>
      <c r="R17" s="463">
        <f t="shared" si="2"/>
        <v>0</v>
      </c>
      <c r="S17" s="463"/>
    </row>
    <row r="18" spans="1:19" ht="15.5" x14ac:dyDescent="0.35">
      <c r="A18" s="471" t="s">
        <v>102</v>
      </c>
      <c r="B18" s="468"/>
      <c r="C18" s="466">
        <v>277061.52</v>
      </c>
      <c r="D18" s="468"/>
      <c r="E18" s="466">
        <v>0</v>
      </c>
      <c r="F18" s="468"/>
      <c r="G18" s="468"/>
      <c r="H18" s="468">
        <v>3</v>
      </c>
      <c r="I18" s="460">
        <f t="shared" si="1"/>
        <v>277061.52</v>
      </c>
      <c r="J18" s="468"/>
      <c r="K18" s="460">
        <v>53930</v>
      </c>
      <c r="L18" s="460"/>
      <c r="M18" s="460">
        <v>4817137.33</v>
      </c>
      <c r="N18" s="461"/>
      <c r="O18" s="463">
        <f t="shared" si="0"/>
        <v>5148128.8499999996</v>
      </c>
      <c r="P18" s="461"/>
      <c r="Q18" s="463"/>
      <c r="R18" s="463">
        <f t="shared" si="2"/>
        <v>5148128.8499999996</v>
      </c>
      <c r="S18" s="463"/>
    </row>
    <row r="19" spans="1:19" ht="15.5" x14ac:dyDescent="0.35">
      <c r="A19" s="471" t="s">
        <v>103</v>
      </c>
      <c r="B19" s="468"/>
      <c r="C19" s="466">
        <v>0</v>
      </c>
      <c r="D19" s="468"/>
      <c r="E19" s="466">
        <v>0</v>
      </c>
      <c r="F19" s="468"/>
      <c r="G19" s="468"/>
      <c r="H19" s="468">
        <v>3</v>
      </c>
      <c r="I19" s="460">
        <f t="shared" si="1"/>
        <v>0</v>
      </c>
      <c r="J19" s="468"/>
      <c r="K19" s="466">
        <v>0</v>
      </c>
      <c r="L19" s="466"/>
      <c r="M19" s="460">
        <v>0</v>
      </c>
      <c r="N19" s="461"/>
      <c r="O19" s="463">
        <f t="shared" si="0"/>
        <v>0</v>
      </c>
      <c r="P19" s="461"/>
      <c r="Q19" s="463"/>
      <c r="R19" s="463">
        <f t="shared" si="2"/>
        <v>0</v>
      </c>
      <c r="S19" s="463"/>
    </row>
    <row r="20" spans="1:19" ht="15.5" x14ac:dyDescent="0.35">
      <c r="A20" s="471" t="s">
        <v>104</v>
      </c>
      <c r="B20" s="468"/>
      <c r="C20" s="466">
        <v>18000</v>
      </c>
      <c r="D20" s="468"/>
      <c r="E20" s="466">
        <v>0</v>
      </c>
      <c r="F20" s="468"/>
      <c r="G20" s="468"/>
      <c r="H20" s="468">
        <v>3</v>
      </c>
      <c r="I20" s="460">
        <f t="shared" si="1"/>
        <v>18000</v>
      </c>
      <c r="J20" s="468"/>
      <c r="K20" s="460">
        <v>0</v>
      </c>
      <c r="L20" s="460"/>
      <c r="M20" s="460">
        <v>6367872.46</v>
      </c>
      <c r="N20" s="461"/>
      <c r="O20" s="463">
        <f t="shared" si="0"/>
        <v>6385872.46</v>
      </c>
      <c r="P20" s="461"/>
      <c r="Q20" s="463"/>
      <c r="R20" s="463">
        <f t="shared" si="2"/>
        <v>6385872.46</v>
      </c>
      <c r="S20" s="463"/>
    </row>
    <row r="21" spans="1:19" ht="15.5" x14ac:dyDescent="0.35">
      <c r="A21" s="471" t="s">
        <v>105</v>
      </c>
      <c r="B21" s="468"/>
      <c r="C21" s="466">
        <v>0</v>
      </c>
      <c r="D21" s="468"/>
      <c r="E21" s="466">
        <v>0</v>
      </c>
      <c r="F21" s="468"/>
      <c r="G21" s="468"/>
      <c r="H21" s="468">
        <v>3</v>
      </c>
      <c r="I21" s="460">
        <f t="shared" si="1"/>
        <v>0</v>
      </c>
      <c r="J21" s="468"/>
      <c r="K21" s="466">
        <v>0</v>
      </c>
      <c r="L21" s="466"/>
      <c r="M21" s="460">
        <v>0</v>
      </c>
      <c r="N21" s="461"/>
      <c r="O21" s="463">
        <f t="shared" si="0"/>
        <v>0</v>
      </c>
      <c r="P21" s="461"/>
      <c r="Q21" s="463"/>
      <c r="R21" s="463">
        <f t="shared" si="2"/>
        <v>0</v>
      </c>
      <c r="S21" s="463"/>
    </row>
    <row r="22" spans="1:19" ht="15.5" x14ac:dyDescent="0.35">
      <c r="A22" s="471" t="s">
        <v>106</v>
      </c>
      <c r="B22" s="468"/>
      <c r="C22" s="466">
        <v>22515.4</v>
      </c>
      <c r="D22" s="468"/>
      <c r="E22" s="466">
        <v>0</v>
      </c>
      <c r="F22" s="468"/>
      <c r="G22" s="468"/>
      <c r="H22" s="468">
        <v>3</v>
      </c>
      <c r="I22" s="460">
        <f t="shared" si="1"/>
        <v>22515.4</v>
      </c>
      <c r="J22" s="468"/>
      <c r="K22" s="466">
        <v>0</v>
      </c>
      <c r="L22" s="466"/>
      <c r="M22" s="460">
        <v>0</v>
      </c>
      <c r="N22" s="461"/>
      <c r="O22" s="463">
        <f t="shared" si="0"/>
        <v>22515.4</v>
      </c>
      <c r="P22" s="461"/>
      <c r="Q22" s="463"/>
      <c r="R22" s="463">
        <f t="shared" si="2"/>
        <v>22515.4</v>
      </c>
      <c r="S22" s="463"/>
    </row>
    <row r="23" spans="1:19" ht="15.5" x14ac:dyDescent="0.35">
      <c r="A23" s="471" t="s">
        <v>107</v>
      </c>
      <c r="B23" s="468"/>
      <c r="C23" s="466">
        <v>0</v>
      </c>
      <c r="D23" s="468"/>
      <c r="E23" s="466">
        <v>0</v>
      </c>
      <c r="F23" s="468"/>
      <c r="G23" s="468"/>
      <c r="H23" s="468">
        <v>3</v>
      </c>
      <c r="I23" s="460">
        <f t="shared" si="1"/>
        <v>0</v>
      </c>
      <c r="J23" s="468"/>
      <c r="K23" s="466">
        <v>0</v>
      </c>
      <c r="L23" s="466"/>
      <c r="M23" s="460">
        <v>41840</v>
      </c>
      <c r="N23" s="461"/>
      <c r="O23" s="463">
        <f t="shared" si="0"/>
        <v>41840</v>
      </c>
      <c r="P23" s="461"/>
      <c r="Q23" s="463"/>
      <c r="R23" s="463">
        <f t="shared" si="2"/>
        <v>41840</v>
      </c>
      <c r="S23" s="463"/>
    </row>
    <row r="24" spans="1:19" ht="15.5" x14ac:dyDescent="0.35">
      <c r="A24" s="455" t="s">
        <v>108</v>
      </c>
      <c r="B24" s="456"/>
      <c r="C24" s="466">
        <v>481419.29</v>
      </c>
      <c r="D24" s="456"/>
      <c r="E24" s="466">
        <v>0</v>
      </c>
      <c r="F24" s="456"/>
      <c r="G24" s="456"/>
      <c r="H24" s="456">
        <v>2</v>
      </c>
      <c r="I24" s="460">
        <f t="shared" si="1"/>
        <v>481419.29</v>
      </c>
      <c r="J24" s="456"/>
      <c r="K24" s="460">
        <v>50920</v>
      </c>
      <c r="L24" s="460"/>
      <c r="M24" s="460">
        <v>1498227.88</v>
      </c>
      <c r="N24" s="461"/>
      <c r="O24" s="463">
        <f t="shared" si="0"/>
        <v>2030567.17</v>
      </c>
      <c r="P24" s="461"/>
      <c r="Q24" s="463"/>
      <c r="R24" s="463">
        <f t="shared" si="2"/>
        <v>2030567.17</v>
      </c>
      <c r="S24" s="463"/>
    </row>
    <row r="25" spans="1:19" ht="15.5" x14ac:dyDescent="0.35">
      <c r="A25" s="471" t="s">
        <v>260</v>
      </c>
      <c r="B25" s="468"/>
      <c r="C25" s="466">
        <v>0</v>
      </c>
      <c r="D25" s="468"/>
      <c r="E25" s="466">
        <v>0</v>
      </c>
      <c r="F25" s="468"/>
      <c r="G25" s="468"/>
      <c r="H25" s="468">
        <v>3</v>
      </c>
      <c r="I25" s="460">
        <f t="shared" si="1"/>
        <v>0</v>
      </c>
      <c r="J25" s="468"/>
      <c r="K25" s="466">
        <v>0</v>
      </c>
      <c r="L25" s="466"/>
      <c r="M25" s="460">
        <v>0</v>
      </c>
      <c r="N25" s="461"/>
      <c r="O25" s="463">
        <f t="shared" si="0"/>
        <v>0</v>
      </c>
      <c r="P25" s="461"/>
      <c r="Q25" s="463"/>
      <c r="R25" s="463">
        <f t="shared" si="2"/>
        <v>0</v>
      </c>
      <c r="S25" s="463"/>
    </row>
    <row r="26" spans="1:19" ht="15.5" x14ac:dyDescent="0.35">
      <c r="A26" s="471" t="s">
        <v>109</v>
      </c>
      <c r="B26" s="468"/>
      <c r="C26" s="466">
        <v>134262.37</v>
      </c>
      <c r="D26" s="468"/>
      <c r="E26" s="466">
        <v>0</v>
      </c>
      <c r="F26" s="468"/>
      <c r="G26" s="468"/>
      <c r="H26" s="468">
        <v>3</v>
      </c>
      <c r="I26" s="460">
        <f t="shared" si="1"/>
        <v>134262.37</v>
      </c>
      <c r="J26" s="468"/>
      <c r="K26" s="466">
        <v>117607.2</v>
      </c>
      <c r="L26" s="466"/>
      <c r="M26" s="460">
        <v>337972.92</v>
      </c>
      <c r="N26" s="461"/>
      <c r="O26" s="463">
        <f t="shared" si="0"/>
        <v>589842.49</v>
      </c>
      <c r="P26" s="461"/>
      <c r="Q26" s="463"/>
      <c r="R26" s="463">
        <f t="shared" si="2"/>
        <v>589842.49</v>
      </c>
      <c r="S26" s="463"/>
    </row>
    <row r="27" spans="1:19" ht="15.5" x14ac:dyDescent="0.35">
      <c r="A27" s="471" t="s">
        <v>110</v>
      </c>
      <c r="B27" s="468"/>
      <c r="C27" s="466">
        <v>236765.51</v>
      </c>
      <c r="D27" s="468"/>
      <c r="E27" s="466">
        <v>0</v>
      </c>
      <c r="F27" s="468"/>
      <c r="G27" s="468"/>
      <c r="H27" s="468">
        <v>3</v>
      </c>
      <c r="I27" s="460">
        <f t="shared" si="1"/>
        <v>236765.51</v>
      </c>
      <c r="J27" s="468"/>
      <c r="K27" s="460">
        <f>179892.01-228665.89</f>
        <v>-48773.880000000005</v>
      </c>
      <c r="L27" s="460"/>
      <c r="M27" s="460">
        <v>7251847.0700000003</v>
      </c>
      <c r="N27" s="461"/>
      <c r="O27" s="463">
        <f t="shared" si="0"/>
        <v>7439838.7000000002</v>
      </c>
      <c r="P27" s="461"/>
      <c r="Q27" s="463"/>
      <c r="R27" s="463">
        <f t="shared" si="2"/>
        <v>7439838.7000000002</v>
      </c>
      <c r="S27" s="463"/>
    </row>
    <row r="28" spans="1:19" ht="15.5" x14ac:dyDescent="0.35">
      <c r="A28" s="464" t="s">
        <v>111</v>
      </c>
      <c r="B28" s="465"/>
      <c r="C28" s="466">
        <v>47280</v>
      </c>
      <c r="D28" s="465"/>
      <c r="E28" s="466">
        <v>0</v>
      </c>
      <c r="F28" s="465"/>
      <c r="G28" s="465"/>
      <c r="H28" s="465">
        <v>1</v>
      </c>
      <c r="I28" s="460">
        <f t="shared" si="1"/>
        <v>47280</v>
      </c>
      <c r="J28" s="465"/>
      <c r="K28" s="466">
        <v>0</v>
      </c>
      <c r="L28" s="466"/>
      <c r="M28" s="460">
        <v>0</v>
      </c>
      <c r="N28" s="461"/>
      <c r="O28" s="463">
        <f t="shared" si="0"/>
        <v>47280</v>
      </c>
      <c r="P28" s="461"/>
      <c r="Q28" s="463"/>
      <c r="R28" s="463">
        <f t="shared" si="2"/>
        <v>47280</v>
      </c>
      <c r="S28" s="463"/>
    </row>
    <row r="29" spans="1:19" ht="15.5" x14ac:dyDescent="0.35">
      <c r="A29" s="471" t="s">
        <v>112</v>
      </c>
      <c r="B29" s="468"/>
      <c r="C29" s="466">
        <v>0</v>
      </c>
      <c r="D29" s="468"/>
      <c r="E29" s="466">
        <v>0</v>
      </c>
      <c r="F29" s="468"/>
      <c r="G29" s="468"/>
      <c r="H29" s="468">
        <v>3</v>
      </c>
      <c r="I29" s="460">
        <f t="shared" si="1"/>
        <v>0</v>
      </c>
      <c r="J29" s="468"/>
      <c r="K29" s="460">
        <v>139526.51</v>
      </c>
      <c r="L29" s="460"/>
      <c r="M29" s="460">
        <v>306320.28000000003</v>
      </c>
      <c r="N29" s="461"/>
      <c r="O29" s="463">
        <f t="shared" si="0"/>
        <v>445846.79000000004</v>
      </c>
      <c r="P29" s="461"/>
      <c r="Q29" s="463"/>
      <c r="R29" s="463">
        <f t="shared" si="2"/>
        <v>445846.79000000004</v>
      </c>
      <c r="S29" s="463"/>
    </row>
    <row r="30" spans="1:19" ht="15.5" x14ac:dyDescent="0.35">
      <c r="A30" s="471" t="s">
        <v>261</v>
      </c>
      <c r="B30" s="468"/>
      <c r="C30" s="466">
        <v>0</v>
      </c>
      <c r="D30" s="468"/>
      <c r="E30" s="466">
        <v>0</v>
      </c>
      <c r="F30" s="468"/>
      <c r="G30" s="468"/>
      <c r="H30" s="468">
        <v>3</v>
      </c>
      <c r="I30" s="460">
        <f t="shared" si="1"/>
        <v>0</v>
      </c>
      <c r="J30" s="468"/>
      <c r="K30" s="466">
        <v>0</v>
      </c>
      <c r="L30" s="466"/>
      <c r="M30" s="460">
        <v>0</v>
      </c>
      <c r="N30" s="461"/>
      <c r="O30" s="463">
        <f t="shared" si="0"/>
        <v>0</v>
      </c>
      <c r="P30" s="461"/>
      <c r="Q30" s="463"/>
      <c r="R30" s="463">
        <f t="shared" si="2"/>
        <v>0</v>
      </c>
      <c r="S30" s="463"/>
    </row>
    <row r="31" spans="1:19" ht="15.5" x14ac:dyDescent="0.35">
      <c r="A31" s="455" t="s">
        <v>113</v>
      </c>
      <c r="B31" s="456"/>
      <c r="C31" s="466">
        <v>0</v>
      </c>
      <c r="D31" s="456"/>
      <c r="E31" s="466">
        <v>0</v>
      </c>
      <c r="F31" s="456"/>
      <c r="G31" s="456"/>
      <c r="H31" s="456">
        <v>2</v>
      </c>
      <c r="I31" s="460">
        <f t="shared" si="1"/>
        <v>0</v>
      </c>
      <c r="J31" s="456"/>
      <c r="K31" s="466">
        <v>161988.98000000001</v>
      </c>
      <c r="L31" s="466"/>
      <c r="M31" s="460">
        <v>3211670.33</v>
      </c>
      <c r="N31" s="461"/>
      <c r="O31" s="463">
        <f t="shared" si="0"/>
        <v>3373659.31</v>
      </c>
      <c r="P31" s="461"/>
      <c r="Q31" s="463"/>
      <c r="R31" s="463">
        <f t="shared" si="2"/>
        <v>3373659.31</v>
      </c>
      <c r="S31" s="463"/>
    </row>
    <row r="32" spans="1:19" ht="15.5" x14ac:dyDescent="0.35">
      <c r="A32" s="471" t="s">
        <v>114</v>
      </c>
      <c r="B32" s="468"/>
      <c r="C32" s="466">
        <v>0</v>
      </c>
      <c r="D32" s="468"/>
      <c r="E32" s="466">
        <v>0</v>
      </c>
      <c r="F32" s="468"/>
      <c r="G32" s="468"/>
      <c r="H32" s="468">
        <v>3</v>
      </c>
      <c r="I32" s="460">
        <f t="shared" si="1"/>
        <v>0</v>
      </c>
      <c r="J32" s="468"/>
      <c r="K32" s="466">
        <v>0</v>
      </c>
      <c r="L32" s="466"/>
      <c r="M32" s="460">
        <v>0</v>
      </c>
      <c r="N32" s="461"/>
      <c r="O32" s="463">
        <f t="shared" si="0"/>
        <v>0</v>
      </c>
      <c r="P32" s="461"/>
      <c r="Q32" s="463"/>
      <c r="R32" s="463">
        <f t="shared" si="2"/>
        <v>0</v>
      </c>
      <c r="S32" s="463"/>
    </row>
    <row r="33" spans="1:20" ht="15.5" x14ac:dyDescent="0.35">
      <c r="A33" s="471" t="s">
        <v>115</v>
      </c>
      <c r="B33" s="468"/>
      <c r="C33" s="466">
        <v>0</v>
      </c>
      <c r="D33" s="468"/>
      <c r="E33" s="466">
        <v>0</v>
      </c>
      <c r="F33" s="468"/>
      <c r="G33" s="468"/>
      <c r="H33" s="468">
        <v>3</v>
      </c>
      <c r="I33" s="460">
        <f t="shared" si="1"/>
        <v>0</v>
      </c>
      <c r="J33" s="468"/>
      <c r="K33" s="460">
        <v>2664.84</v>
      </c>
      <c r="L33" s="460"/>
      <c r="M33" s="460">
        <v>145917.01</v>
      </c>
      <c r="N33" s="461"/>
      <c r="O33" s="463">
        <f t="shared" si="0"/>
        <v>148581.85</v>
      </c>
      <c r="P33" s="461"/>
      <c r="Q33" s="463"/>
      <c r="R33" s="463">
        <f t="shared" si="2"/>
        <v>148581.85</v>
      </c>
      <c r="S33" s="463"/>
    </row>
    <row r="34" spans="1:20" ht="15.5" x14ac:dyDescent="0.35">
      <c r="A34" s="471" t="s">
        <v>116</v>
      </c>
      <c r="B34" s="468"/>
      <c r="C34" s="466">
        <v>0</v>
      </c>
      <c r="D34" s="468"/>
      <c r="E34" s="466">
        <v>0</v>
      </c>
      <c r="F34" s="468"/>
      <c r="G34" s="468"/>
      <c r="H34" s="468">
        <v>3</v>
      </c>
      <c r="I34" s="460">
        <f t="shared" si="1"/>
        <v>0</v>
      </c>
      <c r="J34" s="468"/>
      <c r="K34" s="460">
        <v>16200</v>
      </c>
      <c r="L34" s="460"/>
      <c r="M34" s="460">
        <v>285960</v>
      </c>
      <c r="N34" s="461"/>
      <c r="O34" s="463">
        <f t="shared" si="0"/>
        <v>302160</v>
      </c>
      <c r="P34" s="461"/>
      <c r="Q34" s="463"/>
      <c r="R34" s="463">
        <f t="shared" si="2"/>
        <v>302160</v>
      </c>
      <c r="S34" s="463"/>
    </row>
    <row r="35" spans="1:20" ht="15.5" x14ac:dyDescent="0.35">
      <c r="A35" s="471" t="s">
        <v>262</v>
      </c>
      <c r="B35" s="468"/>
      <c r="C35" s="466">
        <v>0</v>
      </c>
      <c r="D35" s="468"/>
      <c r="E35" s="466">
        <v>0</v>
      </c>
      <c r="F35" s="468"/>
      <c r="G35" s="468"/>
      <c r="H35" s="468">
        <v>3</v>
      </c>
      <c r="I35" s="460">
        <f t="shared" si="1"/>
        <v>0</v>
      </c>
      <c r="J35" s="468"/>
      <c r="K35" s="466">
        <v>0</v>
      </c>
      <c r="L35" s="466"/>
      <c r="M35" s="460">
        <v>0</v>
      </c>
      <c r="N35" s="461"/>
      <c r="O35" s="463">
        <f t="shared" si="0"/>
        <v>0</v>
      </c>
      <c r="P35" s="461"/>
      <c r="Q35" s="463"/>
      <c r="R35" s="463">
        <f t="shared" si="2"/>
        <v>0</v>
      </c>
      <c r="S35" s="463"/>
    </row>
    <row r="36" spans="1:20" ht="15.5" x14ac:dyDescent="0.35">
      <c r="A36" s="464" t="s">
        <v>117</v>
      </c>
      <c r="B36" s="465"/>
      <c r="C36" s="466">
        <v>181040</v>
      </c>
      <c r="D36" s="465"/>
      <c r="E36" s="466">
        <v>0</v>
      </c>
      <c r="F36" s="465"/>
      <c r="G36" s="465"/>
      <c r="H36" s="465">
        <v>1</v>
      </c>
      <c r="I36" s="460">
        <f t="shared" si="1"/>
        <v>181040</v>
      </c>
      <c r="J36" s="465"/>
      <c r="K36" s="460">
        <v>0</v>
      </c>
      <c r="L36" s="460"/>
      <c r="M36" s="460">
        <v>0</v>
      </c>
      <c r="N36" s="461"/>
      <c r="O36" s="463">
        <f t="shared" si="0"/>
        <v>181040</v>
      </c>
      <c r="P36" s="461"/>
      <c r="Q36" s="463"/>
      <c r="R36" s="463">
        <f t="shared" si="2"/>
        <v>181040</v>
      </c>
      <c r="S36" s="463"/>
    </row>
    <row r="37" spans="1:20" ht="15.5" x14ac:dyDescent="0.35">
      <c r="A37" s="471" t="s">
        <v>118</v>
      </c>
      <c r="B37" s="468"/>
      <c r="C37" s="466">
        <v>562646.25</v>
      </c>
      <c r="D37" s="468"/>
      <c r="E37" s="466">
        <v>0</v>
      </c>
      <c r="F37" s="468"/>
      <c r="G37" s="468"/>
      <c r="H37" s="468">
        <v>3</v>
      </c>
      <c r="I37" s="460">
        <f t="shared" si="1"/>
        <v>562646.25</v>
      </c>
      <c r="J37" s="468"/>
      <c r="K37" s="466">
        <v>350678.38</v>
      </c>
      <c r="L37" s="466"/>
      <c r="M37" s="460">
        <v>1338828.3899999999</v>
      </c>
      <c r="N37" s="461"/>
      <c r="O37" s="463">
        <f t="shared" si="0"/>
        <v>2252153.02</v>
      </c>
      <c r="P37" s="461"/>
      <c r="Q37" s="463"/>
      <c r="R37" s="463">
        <f t="shared" si="2"/>
        <v>2252153.02</v>
      </c>
      <c r="S37" s="463"/>
    </row>
    <row r="38" spans="1:20" ht="15.5" x14ac:dyDescent="0.35">
      <c r="A38" s="471" t="s">
        <v>119</v>
      </c>
      <c r="B38" s="468"/>
      <c r="C38" s="466">
        <v>0</v>
      </c>
      <c r="D38" s="468"/>
      <c r="E38" s="466">
        <v>0</v>
      </c>
      <c r="F38" s="468"/>
      <c r="G38" s="468"/>
      <c r="H38" s="468">
        <v>3</v>
      </c>
      <c r="I38" s="460">
        <f t="shared" si="1"/>
        <v>0</v>
      </c>
      <c r="J38" s="468"/>
      <c r="K38" s="466">
        <v>0</v>
      </c>
      <c r="L38" s="466"/>
      <c r="M38" s="460">
        <v>34107.01</v>
      </c>
      <c r="N38" s="461"/>
      <c r="O38" s="463">
        <f t="shared" si="0"/>
        <v>34107.01</v>
      </c>
      <c r="P38" s="461"/>
      <c r="Q38" s="463"/>
      <c r="R38" s="463">
        <f t="shared" si="2"/>
        <v>34107.01</v>
      </c>
      <c r="S38" s="463"/>
    </row>
    <row r="39" spans="1:20" ht="15.5" x14ac:dyDescent="0.35">
      <c r="A39" s="455" t="s">
        <v>120</v>
      </c>
      <c r="B39" s="456"/>
      <c r="C39" s="466">
        <v>4003625.76</v>
      </c>
      <c r="D39" s="456"/>
      <c r="E39" s="466">
        <v>0</v>
      </c>
      <c r="F39" s="456"/>
      <c r="G39" s="456"/>
      <c r="H39" s="456">
        <v>2</v>
      </c>
      <c r="I39" s="460">
        <f t="shared" si="1"/>
        <v>4003625.76</v>
      </c>
      <c r="J39" s="456"/>
      <c r="K39" s="460">
        <v>677136.12</v>
      </c>
      <c r="L39" s="460"/>
      <c r="M39" s="460">
        <v>9881769.5199999996</v>
      </c>
      <c r="N39" s="461"/>
      <c r="O39" s="463">
        <f t="shared" si="0"/>
        <v>14562531.399999999</v>
      </c>
      <c r="P39" s="461"/>
      <c r="Q39" s="463"/>
      <c r="R39" s="463">
        <f t="shared" si="2"/>
        <v>14562531.399999999</v>
      </c>
      <c r="S39" s="463"/>
    </row>
    <row r="40" spans="1:20" ht="15.5" x14ac:dyDescent="0.35">
      <c r="A40" s="471" t="s">
        <v>121</v>
      </c>
      <c r="B40" s="468"/>
      <c r="C40" s="466">
        <v>201377.7</v>
      </c>
      <c r="D40" s="468"/>
      <c r="E40" s="466">
        <v>0</v>
      </c>
      <c r="F40" s="468"/>
      <c r="G40" s="468"/>
      <c r="H40" s="468">
        <v>3</v>
      </c>
      <c r="I40" s="460">
        <f t="shared" si="1"/>
        <v>201377.7</v>
      </c>
      <c r="J40" s="468"/>
      <c r="K40" s="460">
        <v>1149807.3799999999</v>
      </c>
      <c r="L40" s="460"/>
      <c r="M40" s="460">
        <v>298889.01</v>
      </c>
      <c r="N40" s="461"/>
      <c r="O40" s="463">
        <f t="shared" si="0"/>
        <v>1650074.0899999999</v>
      </c>
      <c r="P40" s="461"/>
      <c r="Q40" s="463"/>
      <c r="R40" s="463">
        <f t="shared" si="2"/>
        <v>1650074.0899999999</v>
      </c>
      <c r="S40" s="463"/>
    </row>
    <row r="41" spans="1:20" ht="15.5" x14ac:dyDescent="0.35">
      <c r="A41" s="471" t="s">
        <v>122</v>
      </c>
      <c r="B41" s="468"/>
      <c r="C41" s="466">
        <v>0</v>
      </c>
      <c r="D41" s="468"/>
      <c r="E41" s="466">
        <v>0</v>
      </c>
      <c r="F41" s="468"/>
      <c r="G41" s="468"/>
      <c r="H41" s="468">
        <v>3</v>
      </c>
      <c r="I41" s="460">
        <f t="shared" si="1"/>
        <v>0</v>
      </c>
      <c r="J41" s="468"/>
      <c r="K41" s="460">
        <v>217446</v>
      </c>
      <c r="L41" s="460"/>
      <c r="M41" s="460">
        <v>0</v>
      </c>
      <c r="N41" s="461"/>
      <c r="O41" s="463">
        <f t="shared" si="0"/>
        <v>217446</v>
      </c>
      <c r="P41" s="461"/>
      <c r="Q41" s="463"/>
      <c r="R41" s="463">
        <f t="shared" si="2"/>
        <v>217446</v>
      </c>
      <c r="S41" s="463"/>
    </row>
    <row r="42" spans="1:20" ht="15.5" x14ac:dyDescent="0.35">
      <c r="A42" s="471" t="s">
        <v>263</v>
      </c>
      <c r="B42" s="468"/>
      <c r="C42" s="466">
        <v>0</v>
      </c>
      <c r="D42" s="468"/>
      <c r="E42" s="466">
        <v>0</v>
      </c>
      <c r="F42" s="468"/>
      <c r="G42" s="468"/>
      <c r="H42" s="468">
        <v>3</v>
      </c>
      <c r="I42" s="460">
        <f t="shared" si="1"/>
        <v>0</v>
      </c>
      <c r="J42" s="468"/>
      <c r="K42" s="460">
        <v>0</v>
      </c>
      <c r="L42" s="460"/>
      <c r="M42" s="460">
        <v>0</v>
      </c>
      <c r="N42" s="461"/>
      <c r="O42" s="463">
        <f t="shared" si="0"/>
        <v>0</v>
      </c>
      <c r="P42" s="461"/>
      <c r="Q42" s="463"/>
      <c r="R42" s="463">
        <f t="shared" si="2"/>
        <v>0</v>
      </c>
      <c r="S42" s="463"/>
    </row>
    <row r="43" spans="1:20" ht="15.5" x14ac:dyDescent="0.35">
      <c r="A43" s="464" t="s">
        <v>123</v>
      </c>
      <c r="B43" s="465"/>
      <c r="C43" s="466">
        <v>1096687</v>
      </c>
      <c r="D43" s="465"/>
      <c r="E43" s="466">
        <v>0</v>
      </c>
      <c r="F43" s="465"/>
      <c r="G43" s="465"/>
      <c r="H43" s="465">
        <v>1</v>
      </c>
      <c r="I43" s="460">
        <f t="shared" si="1"/>
        <v>1096687</v>
      </c>
      <c r="J43" s="465"/>
      <c r="K43" s="466">
        <v>0</v>
      </c>
      <c r="L43" s="466"/>
      <c r="M43" s="460">
        <v>278668.71000000002</v>
      </c>
      <c r="N43" s="461"/>
      <c r="O43" s="463">
        <f t="shared" si="0"/>
        <v>1375355.71</v>
      </c>
      <c r="P43" s="461"/>
      <c r="Q43" s="463"/>
      <c r="R43" s="463">
        <f t="shared" si="2"/>
        <v>1375355.71</v>
      </c>
      <c r="S43" s="463"/>
    </row>
    <row r="44" spans="1:20" ht="15.5" x14ac:dyDescent="0.35">
      <c r="A44" s="464" t="s">
        <v>264</v>
      </c>
      <c r="B44" s="465"/>
      <c r="C44" s="466">
        <v>12960</v>
      </c>
      <c r="D44" s="465"/>
      <c r="E44" s="466">
        <v>6286.5</v>
      </c>
      <c r="F44" s="465"/>
      <c r="G44" s="465"/>
      <c r="H44" s="465">
        <v>1</v>
      </c>
      <c r="I44" s="460">
        <f t="shared" si="1"/>
        <v>19246.5</v>
      </c>
      <c r="J44" s="465"/>
      <c r="K44" s="466">
        <v>0</v>
      </c>
      <c r="L44" s="466"/>
      <c r="M44" s="460">
        <v>216293</v>
      </c>
      <c r="N44" s="461"/>
      <c r="O44" s="463">
        <f t="shared" si="0"/>
        <v>235539.5</v>
      </c>
      <c r="P44" s="461"/>
      <c r="Q44" s="463"/>
      <c r="R44" s="463">
        <f t="shared" si="2"/>
        <v>235539.5</v>
      </c>
      <c r="S44" s="463"/>
    </row>
    <row r="45" spans="1:20" ht="15.5" x14ac:dyDescent="0.35">
      <c r="A45" s="464" t="s">
        <v>124</v>
      </c>
      <c r="B45" s="465"/>
      <c r="C45" s="466">
        <f>74822898.55+21656376.85+78373717.49+11118125.54+5057386.33+36631.06+38030-37614075.07+Q45</f>
        <v>153436578.25</v>
      </c>
      <c r="D45" s="465"/>
      <c r="E45" s="466">
        <f>50233437.27+31394.87+44072695.35+32562.95+44947.16</f>
        <v>94415037.600000009</v>
      </c>
      <c r="F45" s="465"/>
      <c r="G45" s="465"/>
      <c r="H45" s="465">
        <v>1</v>
      </c>
      <c r="I45" s="460">
        <f>+C45+E45</f>
        <v>247851615.85000002</v>
      </c>
      <c r="J45" s="465"/>
      <c r="K45" s="460">
        <v>4958696.91</v>
      </c>
      <c r="L45" s="460"/>
      <c r="M45" s="466">
        <f>68808043.34+7780.26-65339.65</f>
        <v>68750483.950000003</v>
      </c>
      <c r="N45" s="461"/>
      <c r="O45" s="463">
        <f t="shared" si="0"/>
        <v>321560796.71000004</v>
      </c>
      <c r="P45" s="461"/>
      <c r="Q45" s="463">
        <v>-52512.5</v>
      </c>
      <c r="R45" s="463">
        <f>+Q45+O45-Q45</f>
        <v>321560796.71000004</v>
      </c>
      <c r="S45" s="463"/>
      <c r="T45" s="196">
        <f>O45-R45</f>
        <v>0</v>
      </c>
    </row>
    <row r="46" spans="1:20" ht="15.5" x14ac:dyDescent="0.35">
      <c r="A46" s="471" t="s">
        <v>125</v>
      </c>
      <c r="B46" s="468"/>
      <c r="C46" s="466">
        <v>0</v>
      </c>
      <c r="D46" s="468"/>
      <c r="E46" s="466">
        <v>0</v>
      </c>
      <c r="F46" s="468"/>
      <c r="G46" s="468"/>
      <c r="H46" s="468">
        <v>3</v>
      </c>
      <c r="I46" s="460">
        <f t="shared" si="1"/>
        <v>0</v>
      </c>
      <c r="J46" s="468"/>
      <c r="K46" s="466">
        <v>0</v>
      </c>
      <c r="L46" s="466"/>
      <c r="M46" s="460">
        <v>15600</v>
      </c>
      <c r="N46" s="461"/>
      <c r="O46" s="463">
        <f t="shared" si="0"/>
        <v>15600</v>
      </c>
      <c r="P46" s="461"/>
      <c r="Q46" s="463"/>
      <c r="R46" s="463">
        <f t="shared" si="2"/>
        <v>15600</v>
      </c>
      <c r="S46" s="463"/>
    </row>
    <row r="47" spans="1:20" ht="15.5" x14ac:dyDescent="0.35">
      <c r="A47" s="471" t="s">
        <v>126</v>
      </c>
      <c r="B47" s="468"/>
      <c r="C47" s="466">
        <v>16000</v>
      </c>
      <c r="D47" s="468"/>
      <c r="E47" s="466">
        <v>0</v>
      </c>
      <c r="F47" s="468"/>
      <c r="G47" s="468"/>
      <c r="H47" s="468">
        <v>3</v>
      </c>
      <c r="I47" s="460">
        <f t="shared" si="1"/>
        <v>16000</v>
      </c>
      <c r="J47" s="468"/>
      <c r="K47" s="460">
        <v>0</v>
      </c>
      <c r="L47" s="460"/>
      <c r="M47" s="460">
        <v>3736677.53</v>
      </c>
      <c r="N47" s="461"/>
      <c r="O47" s="463">
        <f t="shared" si="0"/>
        <v>3752677.53</v>
      </c>
      <c r="P47" s="461"/>
      <c r="Q47" s="463"/>
      <c r="R47" s="463">
        <f t="shared" si="2"/>
        <v>3752677.53</v>
      </c>
      <c r="S47" s="463"/>
    </row>
    <row r="48" spans="1:20" ht="15.5" x14ac:dyDescent="0.35">
      <c r="A48" s="471" t="s">
        <v>127</v>
      </c>
      <c r="B48" s="468"/>
      <c r="C48" s="466">
        <v>0</v>
      </c>
      <c r="D48" s="468"/>
      <c r="E48" s="466">
        <v>0</v>
      </c>
      <c r="F48" s="468"/>
      <c r="G48" s="468"/>
      <c r="H48" s="468">
        <v>3</v>
      </c>
      <c r="I48" s="460">
        <f t="shared" si="1"/>
        <v>0</v>
      </c>
      <c r="J48" s="468"/>
      <c r="K48" s="460">
        <v>70299.86</v>
      </c>
      <c r="L48" s="460"/>
      <c r="M48" s="460">
        <v>0</v>
      </c>
      <c r="N48" s="461"/>
      <c r="O48" s="463">
        <f t="shared" si="0"/>
        <v>70299.86</v>
      </c>
      <c r="P48" s="461"/>
      <c r="Q48" s="463"/>
      <c r="R48" s="463">
        <f t="shared" si="2"/>
        <v>70299.86</v>
      </c>
      <c r="S48" s="463"/>
    </row>
    <row r="49" spans="1:19" ht="15.5" x14ac:dyDescent="0.35">
      <c r="A49" s="464" t="s">
        <v>128</v>
      </c>
      <c r="B49" s="465"/>
      <c r="C49" s="466">
        <v>22567.5</v>
      </c>
      <c r="D49" s="465"/>
      <c r="E49" s="466">
        <v>0</v>
      </c>
      <c r="F49" s="465"/>
      <c r="G49" s="465"/>
      <c r="H49" s="465">
        <v>1</v>
      </c>
      <c r="I49" s="460">
        <f t="shared" si="1"/>
        <v>22567.5</v>
      </c>
      <c r="J49" s="465"/>
      <c r="K49" s="460">
        <v>0</v>
      </c>
      <c r="L49" s="460"/>
      <c r="M49" s="460">
        <v>0</v>
      </c>
      <c r="N49" s="461"/>
      <c r="O49" s="463">
        <f t="shared" si="0"/>
        <v>22567.5</v>
      </c>
      <c r="P49" s="461"/>
      <c r="Q49" s="463"/>
      <c r="R49" s="463">
        <f t="shared" si="2"/>
        <v>22567.5</v>
      </c>
      <c r="S49" s="463"/>
    </row>
    <row r="50" spans="1:19" ht="15.5" x14ac:dyDescent="0.35">
      <c r="A50" s="464" t="s">
        <v>129</v>
      </c>
      <c r="B50" s="465"/>
      <c r="C50" s="466">
        <f>29715037.4+Q50</f>
        <v>30722901.689999998</v>
      </c>
      <c r="D50" s="465"/>
      <c r="E50" s="466">
        <f>9137774.93+8583754.13</f>
        <v>17721529.060000002</v>
      </c>
      <c r="F50" s="465"/>
      <c r="G50" s="465"/>
      <c r="H50" s="465">
        <v>1</v>
      </c>
      <c r="I50" s="460">
        <f t="shared" si="1"/>
        <v>48444430.75</v>
      </c>
      <c r="J50" s="465"/>
      <c r="K50" s="460">
        <v>3503694.22</v>
      </c>
      <c r="L50" s="460"/>
      <c r="M50" s="460">
        <v>13516148.859999999</v>
      </c>
      <c r="N50" s="461"/>
      <c r="O50" s="463">
        <f t="shared" si="0"/>
        <v>65464273.829999998</v>
      </c>
      <c r="P50" s="461"/>
      <c r="Q50" s="463">
        <f>15087298.93-14079434.64</f>
        <v>1007864.2899999991</v>
      </c>
      <c r="R50" s="463">
        <f>+Q50+O50-Q50</f>
        <v>65464273.829999998</v>
      </c>
      <c r="S50" s="463"/>
    </row>
    <row r="51" spans="1:19" ht="15.5" x14ac:dyDescent="0.35">
      <c r="A51" s="471" t="s">
        <v>265</v>
      </c>
      <c r="B51" s="468"/>
      <c r="C51" s="466">
        <v>0</v>
      </c>
      <c r="D51" s="468"/>
      <c r="E51" s="466">
        <v>0</v>
      </c>
      <c r="F51" s="468"/>
      <c r="G51" s="468"/>
      <c r="H51" s="468">
        <v>3</v>
      </c>
      <c r="I51" s="460">
        <f t="shared" si="1"/>
        <v>0</v>
      </c>
      <c r="J51" s="468"/>
      <c r="K51" s="466">
        <v>0</v>
      </c>
      <c r="L51" s="466"/>
      <c r="M51" s="460">
        <v>0</v>
      </c>
      <c r="N51" s="461"/>
      <c r="O51" s="463">
        <f t="shared" si="0"/>
        <v>0</v>
      </c>
      <c r="P51" s="461"/>
      <c r="Q51" s="463"/>
      <c r="R51" s="463">
        <f t="shared" si="2"/>
        <v>0</v>
      </c>
      <c r="S51" s="463"/>
    </row>
    <row r="52" spans="1:19" ht="15.5" x14ac:dyDescent="0.35">
      <c r="A52" s="471" t="s">
        <v>266</v>
      </c>
      <c r="B52" s="468"/>
      <c r="C52" s="466">
        <v>0</v>
      </c>
      <c r="D52" s="468"/>
      <c r="E52" s="466">
        <v>0</v>
      </c>
      <c r="F52" s="468"/>
      <c r="G52" s="468"/>
      <c r="H52" s="468">
        <v>3</v>
      </c>
      <c r="I52" s="460">
        <f t="shared" si="1"/>
        <v>0</v>
      </c>
      <c r="J52" s="468"/>
      <c r="K52" s="466">
        <v>0</v>
      </c>
      <c r="L52" s="466"/>
      <c r="M52" s="460">
        <v>0</v>
      </c>
      <c r="N52" s="461"/>
      <c r="O52" s="463">
        <f t="shared" si="0"/>
        <v>0</v>
      </c>
      <c r="P52" s="461"/>
      <c r="Q52" s="463"/>
      <c r="R52" s="463">
        <f t="shared" si="2"/>
        <v>0</v>
      </c>
      <c r="S52" s="463"/>
    </row>
    <row r="53" spans="1:19" ht="15.5" x14ac:dyDescent="0.35">
      <c r="A53" s="471" t="s">
        <v>130</v>
      </c>
      <c r="B53" s="468"/>
      <c r="C53" s="466">
        <v>14880</v>
      </c>
      <c r="D53" s="468"/>
      <c r="E53" s="466">
        <v>0</v>
      </c>
      <c r="F53" s="468"/>
      <c r="G53" s="468"/>
      <c r="H53" s="468">
        <v>3</v>
      </c>
      <c r="I53" s="460">
        <f t="shared" si="1"/>
        <v>14880</v>
      </c>
      <c r="J53" s="468"/>
      <c r="K53" s="466">
        <v>0</v>
      </c>
      <c r="L53" s="466"/>
      <c r="M53" s="460">
        <v>0</v>
      </c>
      <c r="N53" s="461"/>
      <c r="O53" s="463">
        <f t="shared" si="0"/>
        <v>14880</v>
      </c>
      <c r="P53" s="461"/>
      <c r="Q53" s="463"/>
      <c r="R53" s="463">
        <f t="shared" si="2"/>
        <v>14880</v>
      </c>
      <c r="S53" s="463"/>
    </row>
    <row r="54" spans="1:19" ht="15.5" x14ac:dyDescent="0.35">
      <c r="A54" s="464" t="s">
        <v>131</v>
      </c>
      <c r="B54" s="465"/>
      <c r="C54" s="466">
        <v>1144973.3999999999</v>
      </c>
      <c r="D54" s="465"/>
      <c r="E54" s="466">
        <f>1299935+298455</f>
        <v>1598390</v>
      </c>
      <c r="F54" s="465"/>
      <c r="G54" s="465"/>
      <c r="H54" s="465">
        <v>1</v>
      </c>
      <c r="I54" s="460">
        <f t="shared" si="1"/>
        <v>2743363.4</v>
      </c>
      <c r="J54" s="465"/>
      <c r="K54" s="460">
        <v>292225</v>
      </c>
      <c r="L54" s="460"/>
      <c r="M54" s="460">
        <v>314473</v>
      </c>
      <c r="N54" s="461"/>
      <c r="O54" s="463">
        <f t="shared" si="0"/>
        <v>3350061.4</v>
      </c>
      <c r="P54" s="461"/>
      <c r="Q54" s="463"/>
      <c r="R54" s="463">
        <f t="shared" si="2"/>
        <v>3350061.4</v>
      </c>
      <c r="S54" s="463"/>
    </row>
    <row r="55" spans="1:19" ht="15.5" x14ac:dyDescent="0.35">
      <c r="A55" s="471" t="s">
        <v>132</v>
      </c>
      <c r="B55" s="468"/>
      <c r="C55" s="466">
        <v>0</v>
      </c>
      <c r="D55" s="468"/>
      <c r="E55" s="466">
        <v>0</v>
      </c>
      <c r="F55" s="468"/>
      <c r="G55" s="468"/>
      <c r="H55" s="468">
        <v>3</v>
      </c>
      <c r="I55" s="460">
        <f t="shared" si="1"/>
        <v>0</v>
      </c>
      <c r="J55" s="468"/>
      <c r="K55" s="460">
        <v>0</v>
      </c>
      <c r="L55" s="460"/>
      <c r="M55" s="460">
        <v>0</v>
      </c>
      <c r="N55" s="461"/>
      <c r="O55" s="463">
        <f t="shared" si="0"/>
        <v>0</v>
      </c>
      <c r="P55" s="461"/>
      <c r="Q55" s="463"/>
      <c r="R55" s="463">
        <f t="shared" si="2"/>
        <v>0</v>
      </c>
      <c r="S55" s="463"/>
    </row>
    <row r="56" spans="1:19" ht="15.5" x14ac:dyDescent="0.35">
      <c r="A56" s="471" t="s">
        <v>267</v>
      </c>
      <c r="B56" s="468"/>
      <c r="C56" s="466">
        <v>82920</v>
      </c>
      <c r="D56" s="468"/>
      <c r="E56" s="466">
        <v>0</v>
      </c>
      <c r="F56" s="468"/>
      <c r="G56" s="468"/>
      <c r="H56" s="468">
        <v>3</v>
      </c>
      <c r="I56" s="460">
        <f t="shared" si="1"/>
        <v>82920</v>
      </c>
      <c r="J56" s="468"/>
      <c r="K56" s="466">
        <v>0</v>
      </c>
      <c r="L56" s="466"/>
      <c r="M56" s="460">
        <v>0</v>
      </c>
      <c r="N56" s="461"/>
      <c r="O56" s="463">
        <f t="shared" si="0"/>
        <v>82920</v>
      </c>
      <c r="P56" s="461"/>
      <c r="Q56" s="463"/>
      <c r="R56" s="463">
        <f t="shared" si="2"/>
        <v>82920</v>
      </c>
      <c r="S56" s="463"/>
    </row>
    <row r="57" spans="1:19" ht="15.5" x14ac:dyDescent="0.35">
      <c r="A57" s="471" t="s">
        <v>133</v>
      </c>
      <c r="B57" s="468"/>
      <c r="C57" s="466">
        <v>0</v>
      </c>
      <c r="D57" s="468"/>
      <c r="E57" s="466">
        <v>0</v>
      </c>
      <c r="F57" s="468"/>
      <c r="G57" s="468"/>
      <c r="H57" s="468">
        <v>3</v>
      </c>
      <c r="I57" s="460">
        <f t="shared" si="1"/>
        <v>0</v>
      </c>
      <c r="J57" s="468"/>
      <c r="K57" s="466">
        <v>0</v>
      </c>
      <c r="L57" s="466"/>
      <c r="M57" s="460">
        <v>0</v>
      </c>
      <c r="N57" s="461"/>
      <c r="O57" s="463">
        <f t="shared" si="0"/>
        <v>0</v>
      </c>
      <c r="P57" s="461"/>
      <c r="Q57" s="463"/>
      <c r="R57" s="463">
        <f t="shared" si="2"/>
        <v>0</v>
      </c>
      <c r="S57" s="463"/>
    </row>
    <row r="58" spans="1:19" ht="15.5" x14ac:dyDescent="0.35">
      <c r="A58" s="471" t="s">
        <v>268</v>
      </c>
      <c r="B58" s="468"/>
      <c r="C58" s="466">
        <v>0</v>
      </c>
      <c r="D58" s="468"/>
      <c r="E58" s="466">
        <v>0</v>
      </c>
      <c r="F58" s="468"/>
      <c r="G58" s="468"/>
      <c r="H58" s="468">
        <v>3</v>
      </c>
      <c r="I58" s="460">
        <f t="shared" si="1"/>
        <v>0</v>
      </c>
      <c r="J58" s="468"/>
      <c r="K58" s="466">
        <v>0</v>
      </c>
      <c r="L58" s="466"/>
      <c r="M58" s="460">
        <v>0</v>
      </c>
      <c r="N58" s="461"/>
      <c r="O58" s="463">
        <f t="shared" si="0"/>
        <v>0</v>
      </c>
      <c r="P58" s="461"/>
      <c r="Q58" s="463"/>
      <c r="R58" s="463">
        <f t="shared" si="2"/>
        <v>0</v>
      </c>
      <c r="S58" s="463"/>
    </row>
    <row r="59" spans="1:19" ht="15.5" x14ac:dyDescent="0.35">
      <c r="A59" s="471" t="s">
        <v>134</v>
      </c>
      <c r="B59" s="468"/>
      <c r="C59" s="466">
        <v>52320</v>
      </c>
      <c r="D59" s="468"/>
      <c r="E59" s="466">
        <v>0</v>
      </c>
      <c r="F59" s="468"/>
      <c r="G59" s="468"/>
      <c r="H59" s="468">
        <v>3</v>
      </c>
      <c r="I59" s="460">
        <f t="shared" si="1"/>
        <v>52320</v>
      </c>
      <c r="J59" s="468"/>
      <c r="K59" s="466">
        <v>0</v>
      </c>
      <c r="L59" s="466"/>
      <c r="M59" s="460">
        <v>0</v>
      </c>
      <c r="N59" s="461"/>
      <c r="O59" s="463">
        <f t="shared" si="0"/>
        <v>52320</v>
      </c>
      <c r="P59" s="461"/>
      <c r="Q59" s="463"/>
      <c r="R59" s="463">
        <f t="shared" si="2"/>
        <v>52320</v>
      </c>
      <c r="S59" s="463"/>
    </row>
    <row r="60" spans="1:19" ht="15.5" x14ac:dyDescent="0.35">
      <c r="A60" s="471" t="s">
        <v>269</v>
      </c>
      <c r="B60" s="468"/>
      <c r="C60" s="466">
        <v>0</v>
      </c>
      <c r="D60" s="468"/>
      <c r="E60" s="466">
        <v>0</v>
      </c>
      <c r="F60" s="468"/>
      <c r="G60" s="468"/>
      <c r="H60" s="468">
        <v>3</v>
      </c>
      <c r="I60" s="460">
        <f t="shared" si="1"/>
        <v>0</v>
      </c>
      <c r="J60" s="468"/>
      <c r="K60" s="466">
        <v>0</v>
      </c>
      <c r="L60" s="466"/>
      <c r="M60" s="460">
        <v>0</v>
      </c>
      <c r="N60" s="461"/>
      <c r="O60" s="463">
        <f t="shared" si="0"/>
        <v>0</v>
      </c>
      <c r="P60" s="461"/>
      <c r="Q60" s="463"/>
      <c r="R60" s="463">
        <f t="shared" si="2"/>
        <v>0</v>
      </c>
      <c r="S60" s="463"/>
    </row>
    <row r="61" spans="1:19" ht="15.5" x14ac:dyDescent="0.35">
      <c r="A61" s="471" t="s">
        <v>135</v>
      </c>
      <c r="B61" s="468"/>
      <c r="C61" s="466">
        <v>294757.31</v>
      </c>
      <c r="D61" s="468"/>
      <c r="E61" s="466">
        <v>0</v>
      </c>
      <c r="F61" s="468"/>
      <c r="G61" s="468"/>
      <c r="H61" s="468">
        <v>3</v>
      </c>
      <c r="I61" s="460">
        <f t="shared" si="1"/>
        <v>294757.31</v>
      </c>
      <c r="J61" s="468"/>
      <c r="K61" s="460">
        <v>1943597.11</v>
      </c>
      <c r="L61" s="460"/>
      <c r="M61" s="460">
        <v>0</v>
      </c>
      <c r="N61" s="461"/>
      <c r="O61" s="463">
        <f t="shared" si="0"/>
        <v>2238354.42</v>
      </c>
      <c r="P61" s="461"/>
      <c r="Q61" s="463"/>
      <c r="R61" s="463">
        <f t="shared" si="2"/>
        <v>2238354.42</v>
      </c>
      <c r="S61" s="463"/>
    </row>
    <row r="62" spans="1:19" ht="15.5" x14ac:dyDescent="0.35">
      <c r="A62" s="464" t="s">
        <v>136</v>
      </c>
      <c r="B62" s="465"/>
      <c r="C62" s="466">
        <v>0</v>
      </c>
      <c r="D62" s="465"/>
      <c r="E62" s="466">
        <v>0</v>
      </c>
      <c r="F62" s="465"/>
      <c r="G62" s="465"/>
      <c r="H62" s="465">
        <v>1</v>
      </c>
      <c r="I62" s="460">
        <f t="shared" si="1"/>
        <v>0</v>
      </c>
      <c r="J62" s="465"/>
      <c r="K62" s="460">
        <v>0</v>
      </c>
      <c r="L62" s="460"/>
      <c r="M62" s="460">
        <v>0</v>
      </c>
      <c r="N62" s="461"/>
      <c r="O62" s="463">
        <f t="shared" si="0"/>
        <v>0</v>
      </c>
      <c r="P62" s="461"/>
      <c r="Q62" s="463"/>
      <c r="R62" s="463">
        <f t="shared" si="2"/>
        <v>0</v>
      </c>
      <c r="S62" s="463"/>
    </row>
    <row r="63" spans="1:19" ht="15.5" x14ac:dyDescent="0.35">
      <c r="A63" s="464" t="s">
        <v>137</v>
      </c>
      <c r="B63" s="465"/>
      <c r="C63" s="466">
        <v>41496</v>
      </c>
      <c r="D63" s="465"/>
      <c r="E63" s="466">
        <v>0</v>
      </c>
      <c r="F63" s="465"/>
      <c r="G63" s="465"/>
      <c r="H63" s="465">
        <v>1</v>
      </c>
      <c r="I63" s="460">
        <f t="shared" si="1"/>
        <v>41496</v>
      </c>
      <c r="J63" s="465"/>
      <c r="K63" s="466">
        <v>0</v>
      </c>
      <c r="L63" s="466"/>
      <c r="M63" s="460">
        <v>584443.1</v>
      </c>
      <c r="N63" s="461"/>
      <c r="O63" s="463">
        <f t="shared" si="0"/>
        <v>625939.1</v>
      </c>
      <c r="P63" s="461"/>
      <c r="Q63" s="463"/>
      <c r="R63" s="463">
        <f t="shared" si="2"/>
        <v>625939.1</v>
      </c>
      <c r="S63" s="463"/>
    </row>
    <row r="64" spans="1:19" ht="15.5" x14ac:dyDescent="0.35">
      <c r="A64" s="471" t="s">
        <v>138</v>
      </c>
      <c r="B64" s="468"/>
      <c r="C64" s="466">
        <v>14205.08</v>
      </c>
      <c r="D64" s="468"/>
      <c r="E64" s="466">
        <v>0</v>
      </c>
      <c r="F64" s="468"/>
      <c r="G64" s="468"/>
      <c r="H64" s="468">
        <v>3</v>
      </c>
      <c r="I64" s="460">
        <f t="shared" si="1"/>
        <v>14205.08</v>
      </c>
      <c r="J64" s="468"/>
      <c r="K64" s="460">
        <v>312389.24</v>
      </c>
      <c r="L64" s="460"/>
      <c r="M64" s="460">
        <v>1339392.6000000001</v>
      </c>
      <c r="N64" s="461"/>
      <c r="O64" s="463">
        <f t="shared" si="0"/>
        <v>1665986.9200000002</v>
      </c>
      <c r="P64" s="461"/>
      <c r="Q64" s="463"/>
      <c r="R64" s="463">
        <f t="shared" si="2"/>
        <v>1665986.9200000002</v>
      </c>
      <c r="S64" s="463"/>
    </row>
    <row r="65" spans="1:19" ht="15.5" x14ac:dyDescent="0.35">
      <c r="A65" s="471" t="s">
        <v>139</v>
      </c>
      <c r="B65" s="468"/>
      <c r="C65" s="466">
        <v>0</v>
      </c>
      <c r="D65" s="468"/>
      <c r="E65" s="466">
        <v>0</v>
      </c>
      <c r="F65" s="468"/>
      <c r="G65" s="468"/>
      <c r="H65" s="468">
        <v>3</v>
      </c>
      <c r="I65" s="460">
        <f t="shared" si="1"/>
        <v>0</v>
      </c>
      <c r="J65" s="468"/>
      <c r="K65" s="460">
        <v>7231329.5800000001</v>
      </c>
      <c r="L65" s="460"/>
      <c r="M65" s="460">
        <f>9365845.67-1582.14</f>
        <v>9364263.5299999993</v>
      </c>
      <c r="N65" s="461"/>
      <c r="O65" s="463">
        <f t="shared" si="0"/>
        <v>16595593.109999999</v>
      </c>
      <c r="P65" s="461"/>
      <c r="Q65" s="463"/>
      <c r="R65" s="463">
        <f t="shared" si="2"/>
        <v>16595593.109999999</v>
      </c>
      <c r="S65" s="463"/>
    </row>
    <row r="66" spans="1:19" ht="15.5" x14ac:dyDescent="0.35">
      <c r="A66" s="471" t="s">
        <v>140</v>
      </c>
      <c r="B66" s="468"/>
      <c r="C66" s="466">
        <v>110437.5</v>
      </c>
      <c r="D66" s="468"/>
      <c r="E66" s="466">
        <v>0</v>
      </c>
      <c r="F66" s="468"/>
      <c r="G66" s="468"/>
      <c r="H66" s="468">
        <v>3</v>
      </c>
      <c r="I66" s="460">
        <f t="shared" si="1"/>
        <v>110437.5</v>
      </c>
      <c r="J66" s="468"/>
      <c r="K66" s="460">
        <v>0</v>
      </c>
      <c r="L66" s="460"/>
      <c r="M66" s="460">
        <v>327366.06</v>
      </c>
      <c r="N66" s="461"/>
      <c r="O66" s="463">
        <f t="shared" si="0"/>
        <v>437803.56</v>
      </c>
      <c r="P66" s="461"/>
      <c r="Q66" s="463"/>
      <c r="R66" s="463">
        <f t="shared" si="2"/>
        <v>437803.56</v>
      </c>
      <c r="S66" s="463"/>
    </row>
    <row r="67" spans="1:19" ht="15.5" x14ac:dyDescent="0.35">
      <c r="A67" s="471" t="s">
        <v>270</v>
      </c>
      <c r="B67" s="468"/>
      <c r="C67" s="466">
        <v>0</v>
      </c>
      <c r="D67" s="468"/>
      <c r="E67" s="466">
        <v>0</v>
      </c>
      <c r="F67" s="468"/>
      <c r="G67" s="468"/>
      <c r="H67" s="468">
        <v>3</v>
      </c>
      <c r="I67" s="460">
        <f t="shared" si="1"/>
        <v>0</v>
      </c>
      <c r="J67" s="468"/>
      <c r="K67" s="460">
        <v>33349.050000000003</v>
      </c>
      <c r="L67" s="460"/>
      <c r="M67" s="460">
        <v>0</v>
      </c>
      <c r="N67" s="461"/>
      <c r="O67" s="463">
        <f t="shared" ref="O67:O131" si="3">+M67+K67+I67</f>
        <v>33349.050000000003</v>
      </c>
      <c r="P67" s="461"/>
      <c r="Q67" s="463"/>
      <c r="R67" s="463">
        <f t="shared" si="2"/>
        <v>33349.050000000003</v>
      </c>
      <c r="S67" s="463"/>
    </row>
    <row r="68" spans="1:19" ht="15.5" x14ac:dyDescent="0.35">
      <c r="A68" s="464" t="s">
        <v>141</v>
      </c>
      <c r="B68" s="465"/>
      <c r="C68" s="466">
        <v>100712</v>
      </c>
      <c r="D68" s="465"/>
      <c r="E68" s="466">
        <v>0</v>
      </c>
      <c r="F68" s="465"/>
      <c r="G68" s="465"/>
      <c r="H68" s="465">
        <v>1</v>
      </c>
      <c r="I68" s="460">
        <f t="shared" si="1"/>
        <v>100712</v>
      </c>
      <c r="J68" s="465"/>
      <c r="K68" s="460">
        <v>29250</v>
      </c>
      <c r="L68" s="460"/>
      <c r="M68" s="460">
        <v>1516937.74</v>
      </c>
      <c r="N68" s="461"/>
      <c r="O68" s="463">
        <f t="shared" si="3"/>
        <v>1646899.74</v>
      </c>
      <c r="P68" s="461"/>
      <c r="Q68" s="463"/>
      <c r="R68" s="463">
        <f t="shared" ref="R68:R132" si="4">+Q68+O68</f>
        <v>1646899.74</v>
      </c>
      <c r="S68" s="463"/>
    </row>
    <row r="69" spans="1:19" ht="15.5" x14ac:dyDescent="0.35">
      <c r="A69" s="469" t="s">
        <v>271</v>
      </c>
      <c r="B69" s="470"/>
      <c r="C69" s="466">
        <v>0</v>
      </c>
      <c r="D69" s="470"/>
      <c r="E69" s="466">
        <v>0</v>
      </c>
      <c r="F69" s="470"/>
      <c r="G69" s="470"/>
      <c r="H69" s="470">
        <v>3</v>
      </c>
      <c r="I69" s="460">
        <f t="shared" ref="I69:I134" si="5">+C69+E69</f>
        <v>0</v>
      </c>
      <c r="J69" s="470"/>
      <c r="K69" s="466">
        <v>0</v>
      </c>
      <c r="L69" s="466"/>
      <c r="M69" s="460">
        <v>0</v>
      </c>
      <c r="N69" s="461"/>
      <c r="O69" s="463">
        <f t="shared" si="3"/>
        <v>0</v>
      </c>
      <c r="P69" s="461"/>
      <c r="Q69" s="463"/>
      <c r="R69" s="463">
        <f t="shared" si="4"/>
        <v>0</v>
      </c>
      <c r="S69" s="463"/>
    </row>
    <row r="70" spans="1:19" ht="15.5" x14ac:dyDescent="0.35">
      <c r="A70" s="455" t="s">
        <v>272</v>
      </c>
      <c r="B70" s="456"/>
      <c r="C70" s="466">
        <v>0</v>
      </c>
      <c r="D70" s="456"/>
      <c r="E70" s="466">
        <v>0</v>
      </c>
      <c r="F70" s="456"/>
      <c r="G70" s="456"/>
      <c r="H70" s="456">
        <v>2</v>
      </c>
      <c r="I70" s="460">
        <f t="shared" si="5"/>
        <v>0</v>
      </c>
      <c r="J70" s="456"/>
      <c r="K70" s="466">
        <v>0</v>
      </c>
      <c r="L70" s="466"/>
      <c r="M70" s="460">
        <v>0</v>
      </c>
      <c r="N70" s="461"/>
      <c r="O70" s="463">
        <f t="shared" si="3"/>
        <v>0</v>
      </c>
      <c r="P70" s="461"/>
      <c r="Q70" s="463"/>
      <c r="R70" s="463">
        <f t="shared" si="4"/>
        <v>0</v>
      </c>
      <c r="S70" s="463"/>
    </row>
    <row r="71" spans="1:19" ht="15.5" x14ac:dyDescent="0.35">
      <c r="A71" s="469" t="s">
        <v>273</v>
      </c>
      <c r="B71" s="470"/>
      <c r="C71" s="466">
        <v>0</v>
      </c>
      <c r="D71" s="470"/>
      <c r="E71" s="466">
        <v>0</v>
      </c>
      <c r="F71" s="470"/>
      <c r="G71" s="470"/>
      <c r="H71" s="470">
        <v>3</v>
      </c>
      <c r="I71" s="460">
        <f t="shared" si="5"/>
        <v>0</v>
      </c>
      <c r="J71" s="470"/>
      <c r="K71" s="466">
        <v>0</v>
      </c>
      <c r="L71" s="466"/>
      <c r="M71" s="460">
        <v>0</v>
      </c>
      <c r="N71" s="461"/>
      <c r="O71" s="463">
        <f t="shared" si="3"/>
        <v>0</v>
      </c>
      <c r="P71" s="461"/>
      <c r="Q71" s="463"/>
      <c r="R71" s="463">
        <f t="shared" si="4"/>
        <v>0</v>
      </c>
      <c r="S71" s="463"/>
    </row>
    <row r="72" spans="1:19" ht="15.5" x14ac:dyDescent="0.35">
      <c r="A72" s="469" t="s">
        <v>142</v>
      </c>
      <c r="B72" s="470"/>
      <c r="C72" s="466">
        <f>492320.27+35973.39</f>
        <v>528293.66</v>
      </c>
      <c r="D72" s="470"/>
      <c r="E72" s="466">
        <v>0</v>
      </c>
      <c r="F72" s="470"/>
      <c r="G72" s="470"/>
      <c r="H72" s="470">
        <v>3</v>
      </c>
      <c r="I72" s="460">
        <f t="shared" si="5"/>
        <v>528293.66</v>
      </c>
      <c r="J72" s="470"/>
      <c r="K72" s="460">
        <v>102126.04</v>
      </c>
      <c r="L72" s="460"/>
      <c r="M72" s="460">
        <v>703475.78</v>
      </c>
      <c r="N72" s="461"/>
      <c r="O72" s="463">
        <f t="shared" si="3"/>
        <v>1333895.48</v>
      </c>
      <c r="P72" s="461"/>
      <c r="Q72" s="463"/>
      <c r="R72" s="463">
        <f t="shared" si="4"/>
        <v>1333895.48</v>
      </c>
      <c r="S72" s="463"/>
    </row>
    <row r="73" spans="1:19" ht="15.5" x14ac:dyDescent="0.35">
      <c r="A73" s="464" t="s">
        <v>143</v>
      </c>
      <c r="B73" s="465"/>
      <c r="C73" s="466">
        <v>14963497.51</v>
      </c>
      <c r="D73" s="465"/>
      <c r="E73" s="466">
        <f>6568835.28+6175964.61</f>
        <v>12744799.890000001</v>
      </c>
      <c r="F73" s="465"/>
      <c r="G73" s="465"/>
      <c r="H73" s="465">
        <v>1</v>
      </c>
      <c r="I73" s="460">
        <f t="shared" si="5"/>
        <v>27708297.399999999</v>
      </c>
      <c r="J73" s="465"/>
      <c r="K73" s="460">
        <v>10309464.74</v>
      </c>
      <c r="L73" s="460"/>
      <c r="M73" s="460">
        <v>2540752.8199999998</v>
      </c>
      <c r="N73" s="461"/>
      <c r="O73" s="463">
        <f t="shared" si="3"/>
        <v>40558514.960000001</v>
      </c>
      <c r="P73" s="461"/>
      <c r="Q73" s="463"/>
      <c r="R73" s="463">
        <f t="shared" si="4"/>
        <v>40558514.960000001</v>
      </c>
      <c r="S73" s="463"/>
    </row>
    <row r="74" spans="1:19" ht="15.5" x14ac:dyDescent="0.35">
      <c r="A74" s="469" t="s">
        <v>144</v>
      </c>
      <c r="B74" s="465"/>
      <c r="C74" s="466">
        <v>0</v>
      </c>
      <c r="D74" s="465"/>
      <c r="E74" s="466">
        <v>0</v>
      </c>
      <c r="F74" s="465"/>
      <c r="G74" s="465"/>
      <c r="H74" s="457">
        <v>3</v>
      </c>
      <c r="I74" s="460">
        <f t="shared" si="5"/>
        <v>0</v>
      </c>
      <c r="J74" s="465"/>
      <c r="K74" s="466">
        <v>0</v>
      </c>
      <c r="L74" s="466"/>
      <c r="M74" s="460">
        <v>0</v>
      </c>
      <c r="N74" s="461"/>
      <c r="O74" s="463">
        <f t="shared" si="3"/>
        <v>0</v>
      </c>
      <c r="P74" s="461"/>
      <c r="Q74" s="463"/>
      <c r="R74" s="463">
        <f t="shared" si="4"/>
        <v>0</v>
      </c>
      <c r="S74" s="463"/>
    </row>
    <row r="75" spans="1:19" ht="15.5" x14ac:dyDescent="0.35">
      <c r="A75" s="455" t="s">
        <v>145</v>
      </c>
      <c r="B75" s="456"/>
      <c r="C75" s="466">
        <v>0</v>
      </c>
      <c r="D75" s="456"/>
      <c r="E75" s="466">
        <v>0</v>
      </c>
      <c r="F75" s="456"/>
      <c r="G75" s="456"/>
      <c r="H75" s="456">
        <v>2</v>
      </c>
      <c r="I75" s="460">
        <f t="shared" si="5"/>
        <v>0</v>
      </c>
      <c r="J75" s="456"/>
      <c r="K75" s="460">
        <f>3340403.71-1740</f>
        <v>3338663.71</v>
      </c>
      <c r="L75" s="460"/>
      <c r="M75" s="460">
        <v>2715815.99</v>
      </c>
      <c r="N75" s="461"/>
      <c r="O75" s="463">
        <f t="shared" si="3"/>
        <v>6054479.7000000002</v>
      </c>
      <c r="P75" s="461"/>
      <c r="Q75" s="463"/>
      <c r="R75" s="463">
        <f t="shared" si="4"/>
        <v>6054479.7000000002</v>
      </c>
      <c r="S75" s="463"/>
    </row>
    <row r="76" spans="1:19" ht="15.5" x14ac:dyDescent="0.35">
      <c r="A76" s="471" t="s">
        <v>146</v>
      </c>
      <c r="B76" s="468"/>
      <c r="C76" s="466">
        <v>0</v>
      </c>
      <c r="D76" s="468"/>
      <c r="E76" s="466">
        <v>0</v>
      </c>
      <c r="F76" s="468"/>
      <c r="G76" s="468"/>
      <c r="H76" s="468">
        <v>3</v>
      </c>
      <c r="I76" s="460">
        <f t="shared" si="5"/>
        <v>0</v>
      </c>
      <c r="J76" s="468"/>
      <c r="K76" s="460">
        <v>1729314.43</v>
      </c>
      <c r="L76" s="460"/>
      <c r="M76" s="460">
        <v>164469.16</v>
      </c>
      <c r="N76" s="461"/>
      <c r="O76" s="463">
        <f t="shared" si="3"/>
        <v>1893783.5899999999</v>
      </c>
      <c r="P76" s="461"/>
      <c r="Q76" s="463"/>
      <c r="R76" s="463">
        <f t="shared" si="4"/>
        <v>1893783.5899999999</v>
      </c>
      <c r="S76" s="463"/>
    </row>
    <row r="77" spans="1:19" ht="15.5" x14ac:dyDescent="0.35">
      <c r="A77" s="471" t="s">
        <v>147</v>
      </c>
      <c r="B77" s="468"/>
      <c r="C77" s="466">
        <v>0</v>
      </c>
      <c r="D77" s="468"/>
      <c r="E77" s="466">
        <v>0</v>
      </c>
      <c r="F77" s="468"/>
      <c r="G77" s="468"/>
      <c r="H77" s="468">
        <v>3</v>
      </c>
      <c r="I77" s="460">
        <f t="shared" si="5"/>
        <v>0</v>
      </c>
      <c r="J77" s="468"/>
      <c r="K77" s="466">
        <v>0</v>
      </c>
      <c r="L77" s="466"/>
      <c r="M77" s="460">
        <v>921975.77</v>
      </c>
      <c r="N77" s="461"/>
      <c r="O77" s="463">
        <f t="shared" si="3"/>
        <v>921975.77</v>
      </c>
      <c r="P77" s="461"/>
      <c r="Q77" s="463"/>
      <c r="R77" s="463">
        <f t="shared" si="4"/>
        <v>921975.77</v>
      </c>
      <c r="S77" s="463"/>
    </row>
    <row r="78" spans="1:19" ht="15.5" x14ac:dyDescent="0.35">
      <c r="A78" s="471" t="s">
        <v>274</v>
      </c>
      <c r="B78" s="468"/>
      <c r="C78" s="466">
        <v>0</v>
      </c>
      <c r="D78" s="468"/>
      <c r="E78" s="466">
        <v>0</v>
      </c>
      <c r="F78" s="468"/>
      <c r="G78" s="468"/>
      <c r="H78" s="468">
        <v>3</v>
      </c>
      <c r="I78" s="460">
        <f t="shared" si="5"/>
        <v>0</v>
      </c>
      <c r="J78" s="468"/>
      <c r="K78" s="460">
        <v>0</v>
      </c>
      <c r="L78" s="460"/>
      <c r="M78" s="460">
        <v>0</v>
      </c>
      <c r="N78" s="461"/>
      <c r="O78" s="463">
        <f t="shared" si="3"/>
        <v>0</v>
      </c>
      <c r="P78" s="461"/>
      <c r="Q78" s="463"/>
      <c r="R78" s="463">
        <f t="shared" si="4"/>
        <v>0</v>
      </c>
      <c r="S78" s="463"/>
    </row>
    <row r="79" spans="1:19" ht="15.5" x14ac:dyDescent="0.35">
      <c r="A79" s="471" t="s">
        <v>148</v>
      </c>
      <c r="B79" s="468"/>
      <c r="C79" s="466">
        <v>34890.199999999997</v>
      </c>
      <c r="D79" s="468"/>
      <c r="E79" s="466">
        <v>0</v>
      </c>
      <c r="F79" s="468"/>
      <c r="G79" s="468"/>
      <c r="H79" s="468">
        <v>3</v>
      </c>
      <c r="I79" s="460">
        <f t="shared" si="5"/>
        <v>34890.199999999997</v>
      </c>
      <c r="J79" s="468"/>
      <c r="K79" s="466">
        <v>68003.710000000006</v>
      </c>
      <c r="L79" s="466"/>
      <c r="M79" s="460">
        <v>306727.53999999998</v>
      </c>
      <c r="N79" s="461"/>
      <c r="O79" s="463">
        <f t="shared" si="3"/>
        <v>409621.45</v>
      </c>
      <c r="P79" s="461"/>
      <c r="Q79" s="463"/>
      <c r="R79" s="463">
        <f t="shared" si="4"/>
        <v>409621.45</v>
      </c>
      <c r="S79" s="463"/>
    </row>
    <row r="80" spans="1:19" ht="15.5" x14ac:dyDescent="0.35">
      <c r="A80" s="464" t="s">
        <v>149</v>
      </c>
      <c r="B80" s="465"/>
      <c r="C80" s="466">
        <v>0</v>
      </c>
      <c r="D80" s="465"/>
      <c r="E80" s="466">
        <f>2802096.01+2476027.38</f>
        <v>5278123.3899999997</v>
      </c>
      <c r="F80" s="465"/>
      <c r="G80" s="465"/>
      <c r="H80" s="465">
        <v>1</v>
      </c>
      <c r="I80" s="460">
        <f t="shared" si="5"/>
        <v>5278123.3899999997</v>
      </c>
      <c r="J80" s="465"/>
      <c r="K80" s="466">
        <v>0</v>
      </c>
      <c r="L80" s="466"/>
      <c r="M80" s="460">
        <v>0</v>
      </c>
      <c r="N80" s="461"/>
      <c r="O80" s="463">
        <f t="shared" si="3"/>
        <v>5278123.3899999997</v>
      </c>
      <c r="P80" s="461"/>
      <c r="Q80" s="463"/>
      <c r="R80" s="463">
        <f t="shared" si="4"/>
        <v>5278123.3899999997</v>
      </c>
      <c r="S80" s="463"/>
    </row>
    <row r="81" spans="1:19" ht="15.5" x14ac:dyDescent="0.35">
      <c r="A81" s="464" t="s">
        <v>150</v>
      </c>
      <c r="B81" s="465"/>
      <c r="C81" s="466">
        <v>46080</v>
      </c>
      <c r="D81" s="465"/>
      <c r="E81" s="466">
        <v>0</v>
      </c>
      <c r="F81" s="465"/>
      <c r="G81" s="465"/>
      <c r="H81" s="465">
        <v>1</v>
      </c>
      <c r="I81" s="460">
        <f t="shared" si="5"/>
        <v>46080</v>
      </c>
      <c r="J81" s="465"/>
      <c r="K81" s="466">
        <v>0</v>
      </c>
      <c r="L81" s="466"/>
      <c r="M81" s="460">
        <v>0</v>
      </c>
      <c r="N81" s="461"/>
      <c r="O81" s="463">
        <f t="shared" si="3"/>
        <v>46080</v>
      </c>
      <c r="P81" s="461"/>
      <c r="Q81" s="463"/>
      <c r="R81" s="463">
        <f t="shared" si="4"/>
        <v>46080</v>
      </c>
      <c r="S81" s="463"/>
    </row>
    <row r="82" spans="1:19" ht="15.5" x14ac:dyDescent="0.35">
      <c r="A82" s="471" t="s">
        <v>275</v>
      </c>
      <c r="B82" s="468"/>
      <c r="C82" s="466">
        <v>0</v>
      </c>
      <c r="D82" s="468"/>
      <c r="E82" s="466">
        <v>0</v>
      </c>
      <c r="F82" s="468"/>
      <c r="G82" s="468"/>
      <c r="H82" s="468">
        <v>3</v>
      </c>
      <c r="I82" s="460">
        <f t="shared" si="5"/>
        <v>0</v>
      </c>
      <c r="J82" s="468"/>
      <c r="K82" s="466">
        <v>0</v>
      </c>
      <c r="L82" s="466"/>
      <c r="M82" s="460">
        <v>0</v>
      </c>
      <c r="N82" s="461"/>
      <c r="O82" s="463">
        <f t="shared" si="3"/>
        <v>0</v>
      </c>
      <c r="P82" s="461"/>
      <c r="Q82" s="463"/>
      <c r="R82" s="463">
        <f t="shared" si="4"/>
        <v>0</v>
      </c>
      <c r="S82" s="463"/>
    </row>
    <row r="83" spans="1:19" ht="15.5" x14ac:dyDescent="0.35">
      <c r="A83" s="464" t="s">
        <v>151</v>
      </c>
      <c r="B83" s="465"/>
      <c r="C83" s="466">
        <f>10500+28140</f>
        <v>38640</v>
      </c>
      <c r="D83" s="465"/>
      <c r="E83" s="466">
        <v>0</v>
      </c>
      <c r="F83" s="465"/>
      <c r="G83" s="465"/>
      <c r="H83" s="465">
        <v>1</v>
      </c>
      <c r="I83" s="460">
        <f t="shared" si="5"/>
        <v>38640</v>
      </c>
      <c r="J83" s="465"/>
      <c r="K83" s="466">
        <v>0</v>
      </c>
      <c r="L83" s="466"/>
      <c r="M83" s="460">
        <v>0</v>
      </c>
      <c r="N83" s="461"/>
      <c r="O83" s="463">
        <f t="shared" si="3"/>
        <v>38640</v>
      </c>
      <c r="P83" s="461"/>
      <c r="Q83" s="463"/>
      <c r="R83" s="463">
        <f t="shared" si="4"/>
        <v>38640</v>
      </c>
      <c r="S83" s="463"/>
    </row>
    <row r="84" spans="1:19" ht="15.5" x14ac:dyDescent="0.35">
      <c r="A84" s="471" t="s">
        <v>152</v>
      </c>
      <c r="B84" s="468"/>
      <c r="C84" s="466">
        <v>235352.15</v>
      </c>
      <c r="D84" s="468"/>
      <c r="E84" s="466">
        <v>0</v>
      </c>
      <c r="F84" s="468"/>
      <c r="G84" s="468"/>
      <c r="H84" s="468">
        <v>3</v>
      </c>
      <c r="I84" s="460">
        <f t="shared" si="5"/>
        <v>235352.15</v>
      </c>
      <c r="J84" s="468"/>
      <c r="K84" s="460">
        <v>77427.039999999994</v>
      </c>
      <c r="L84" s="460"/>
      <c r="M84" s="460">
        <v>0</v>
      </c>
      <c r="N84" s="461"/>
      <c r="O84" s="463">
        <f t="shared" si="3"/>
        <v>312779.19</v>
      </c>
      <c r="P84" s="461"/>
      <c r="Q84" s="463"/>
      <c r="R84" s="463">
        <f t="shared" si="4"/>
        <v>312779.19</v>
      </c>
      <c r="S84" s="463"/>
    </row>
    <row r="85" spans="1:19" ht="15.5" x14ac:dyDescent="0.35">
      <c r="A85" s="471" t="s">
        <v>276</v>
      </c>
      <c r="B85" s="468"/>
      <c r="C85" s="466">
        <v>0</v>
      </c>
      <c r="D85" s="468"/>
      <c r="E85" s="466">
        <v>0</v>
      </c>
      <c r="F85" s="468"/>
      <c r="G85" s="468"/>
      <c r="H85" s="468">
        <v>3</v>
      </c>
      <c r="I85" s="460">
        <f t="shared" si="5"/>
        <v>0</v>
      </c>
      <c r="J85" s="468"/>
      <c r="K85" s="460">
        <v>0</v>
      </c>
      <c r="L85" s="460"/>
      <c r="M85" s="460">
        <v>0</v>
      </c>
      <c r="N85" s="461"/>
      <c r="O85" s="463">
        <f t="shared" si="3"/>
        <v>0</v>
      </c>
      <c r="P85" s="461"/>
      <c r="Q85" s="463"/>
      <c r="R85" s="463">
        <f t="shared" si="4"/>
        <v>0</v>
      </c>
      <c r="S85" s="463"/>
    </row>
    <row r="86" spans="1:19" ht="15.5" x14ac:dyDescent="0.35">
      <c r="A86" s="471" t="s">
        <v>277</v>
      </c>
      <c r="B86" s="468"/>
      <c r="C86" s="466">
        <v>0</v>
      </c>
      <c r="D86" s="468"/>
      <c r="E86" s="466">
        <v>0</v>
      </c>
      <c r="F86" s="468"/>
      <c r="G86" s="468"/>
      <c r="H86" s="468">
        <v>3</v>
      </c>
      <c r="I86" s="460">
        <f t="shared" si="5"/>
        <v>0</v>
      </c>
      <c r="J86" s="468"/>
      <c r="K86" s="460">
        <v>0</v>
      </c>
      <c r="L86" s="460"/>
      <c r="M86" s="460">
        <v>0</v>
      </c>
      <c r="N86" s="461"/>
      <c r="O86" s="463">
        <f t="shared" si="3"/>
        <v>0</v>
      </c>
      <c r="P86" s="461"/>
      <c r="Q86" s="463"/>
      <c r="R86" s="463">
        <f t="shared" si="4"/>
        <v>0</v>
      </c>
      <c r="S86" s="463"/>
    </row>
    <row r="87" spans="1:19" ht="15.5" x14ac:dyDescent="0.35">
      <c r="A87" s="471" t="s">
        <v>278</v>
      </c>
      <c r="B87" s="468"/>
      <c r="C87" s="466">
        <v>0</v>
      </c>
      <c r="D87" s="468"/>
      <c r="E87" s="466">
        <v>0</v>
      </c>
      <c r="F87" s="468"/>
      <c r="G87" s="468"/>
      <c r="H87" s="468">
        <v>3</v>
      </c>
      <c r="I87" s="460">
        <f t="shared" si="5"/>
        <v>0</v>
      </c>
      <c r="J87" s="468"/>
      <c r="K87" s="466">
        <v>0</v>
      </c>
      <c r="L87" s="466"/>
      <c r="M87" s="460">
        <v>0</v>
      </c>
      <c r="N87" s="461"/>
      <c r="O87" s="463">
        <f t="shared" si="3"/>
        <v>0</v>
      </c>
      <c r="P87" s="461"/>
      <c r="Q87" s="463"/>
      <c r="R87" s="463">
        <f t="shared" si="4"/>
        <v>0</v>
      </c>
      <c r="S87" s="463"/>
    </row>
    <row r="88" spans="1:19" ht="15.5" x14ac:dyDescent="0.35">
      <c r="A88" s="471" t="s">
        <v>153</v>
      </c>
      <c r="B88" s="468"/>
      <c r="C88" s="466">
        <v>27360</v>
      </c>
      <c r="D88" s="468"/>
      <c r="E88" s="466">
        <v>0</v>
      </c>
      <c r="F88" s="468"/>
      <c r="G88" s="468"/>
      <c r="H88" s="468">
        <v>3</v>
      </c>
      <c r="I88" s="460">
        <f t="shared" si="5"/>
        <v>27360</v>
      </c>
      <c r="J88" s="468"/>
      <c r="K88" s="466">
        <v>0</v>
      </c>
      <c r="L88" s="466"/>
      <c r="M88" s="460">
        <v>0</v>
      </c>
      <c r="N88" s="461"/>
      <c r="O88" s="463">
        <f t="shared" si="3"/>
        <v>27360</v>
      </c>
      <c r="P88" s="461"/>
      <c r="Q88" s="463"/>
      <c r="R88" s="463">
        <f t="shared" si="4"/>
        <v>27360</v>
      </c>
      <c r="S88" s="463"/>
    </row>
    <row r="89" spans="1:19" ht="15.5" x14ac:dyDescent="0.35">
      <c r="A89" s="471" t="s">
        <v>154</v>
      </c>
      <c r="B89" s="468"/>
      <c r="C89" s="466">
        <v>351100.39</v>
      </c>
      <c r="D89" s="468"/>
      <c r="E89" s="466">
        <v>0</v>
      </c>
      <c r="F89" s="468"/>
      <c r="G89" s="468"/>
      <c r="H89" s="468">
        <v>3</v>
      </c>
      <c r="I89" s="460">
        <f t="shared" si="5"/>
        <v>351100.39</v>
      </c>
      <c r="J89" s="468"/>
      <c r="K89" s="460">
        <v>643014.43000000005</v>
      </c>
      <c r="L89" s="460"/>
      <c r="M89" s="460">
        <v>220857.2</v>
      </c>
      <c r="N89" s="461"/>
      <c r="O89" s="463">
        <f t="shared" si="3"/>
        <v>1214972.02</v>
      </c>
      <c r="P89" s="461"/>
      <c r="Q89" s="463"/>
      <c r="R89" s="463">
        <f t="shared" si="4"/>
        <v>1214972.02</v>
      </c>
      <c r="S89" s="463"/>
    </row>
    <row r="90" spans="1:19" ht="15.5" x14ac:dyDescent="0.35">
      <c r="A90" s="471" t="s">
        <v>279</v>
      </c>
      <c r="B90" s="468"/>
      <c r="C90" s="466">
        <v>0</v>
      </c>
      <c r="D90" s="468"/>
      <c r="E90" s="466">
        <v>0</v>
      </c>
      <c r="F90" s="468"/>
      <c r="G90" s="468"/>
      <c r="H90" s="468">
        <v>3</v>
      </c>
      <c r="I90" s="460">
        <f t="shared" si="5"/>
        <v>0</v>
      </c>
      <c r="J90" s="468"/>
      <c r="K90" s="466">
        <v>0</v>
      </c>
      <c r="L90" s="466"/>
      <c r="M90" s="460">
        <v>289118.28000000003</v>
      </c>
      <c r="N90" s="461"/>
      <c r="O90" s="463">
        <f t="shared" si="3"/>
        <v>289118.28000000003</v>
      </c>
      <c r="P90" s="461"/>
      <c r="Q90" s="463"/>
      <c r="R90" s="463">
        <f t="shared" si="4"/>
        <v>289118.28000000003</v>
      </c>
      <c r="S90" s="463"/>
    </row>
    <row r="91" spans="1:19" ht="15.5" x14ac:dyDescent="0.35">
      <c r="A91" s="471" t="s">
        <v>280</v>
      </c>
      <c r="B91" s="468"/>
      <c r="C91" s="466">
        <v>18684</v>
      </c>
      <c r="D91" s="468"/>
      <c r="E91" s="466">
        <v>0</v>
      </c>
      <c r="F91" s="468"/>
      <c r="G91" s="468"/>
      <c r="H91" s="468">
        <v>3</v>
      </c>
      <c r="I91" s="460">
        <f t="shared" si="5"/>
        <v>18684</v>
      </c>
      <c r="J91" s="468"/>
      <c r="K91" s="466">
        <v>0</v>
      </c>
      <c r="L91" s="466"/>
      <c r="M91" s="460">
        <v>0</v>
      </c>
      <c r="N91" s="461"/>
      <c r="O91" s="463">
        <f t="shared" si="3"/>
        <v>18684</v>
      </c>
      <c r="P91" s="461"/>
      <c r="Q91" s="463"/>
      <c r="R91" s="463">
        <f t="shared" si="4"/>
        <v>18684</v>
      </c>
      <c r="S91" s="463"/>
    </row>
    <row r="92" spans="1:19" ht="15.5" x14ac:dyDescent="0.35">
      <c r="A92" s="471" t="s">
        <v>155</v>
      </c>
      <c r="B92" s="468"/>
      <c r="C92" s="466">
        <v>285904</v>
      </c>
      <c r="D92" s="468"/>
      <c r="E92" s="466">
        <v>0</v>
      </c>
      <c r="F92" s="468"/>
      <c r="G92" s="468"/>
      <c r="H92" s="468">
        <v>3</v>
      </c>
      <c r="I92" s="460">
        <f t="shared" si="5"/>
        <v>285904</v>
      </c>
      <c r="J92" s="468"/>
      <c r="K92" s="466">
        <v>0</v>
      </c>
      <c r="L92" s="466"/>
      <c r="M92" s="460">
        <v>0</v>
      </c>
      <c r="N92" s="461"/>
      <c r="O92" s="463">
        <f t="shared" si="3"/>
        <v>285904</v>
      </c>
      <c r="P92" s="461"/>
      <c r="Q92" s="463"/>
      <c r="R92" s="463">
        <f t="shared" si="4"/>
        <v>285904</v>
      </c>
      <c r="S92" s="463"/>
    </row>
    <row r="93" spans="1:19" ht="15.5" x14ac:dyDescent="0.35">
      <c r="A93" s="464" t="s">
        <v>156</v>
      </c>
      <c r="B93" s="465"/>
      <c r="C93" s="466">
        <v>150168</v>
      </c>
      <c r="D93" s="465"/>
      <c r="E93" s="466">
        <v>0</v>
      </c>
      <c r="F93" s="465"/>
      <c r="G93" s="465"/>
      <c r="H93" s="465">
        <v>1</v>
      </c>
      <c r="I93" s="460">
        <f t="shared" si="5"/>
        <v>150168</v>
      </c>
      <c r="J93" s="465"/>
      <c r="K93" s="466">
        <v>0</v>
      </c>
      <c r="L93" s="466"/>
      <c r="M93" s="460">
        <v>0</v>
      </c>
      <c r="N93" s="461"/>
      <c r="O93" s="463">
        <f t="shared" si="3"/>
        <v>150168</v>
      </c>
      <c r="P93" s="461"/>
      <c r="Q93" s="463"/>
      <c r="R93" s="463">
        <f t="shared" si="4"/>
        <v>150168</v>
      </c>
      <c r="S93" s="463"/>
    </row>
    <row r="94" spans="1:19" ht="15.5" x14ac:dyDescent="0.35">
      <c r="A94" s="471" t="s">
        <v>157</v>
      </c>
      <c r="B94" s="468"/>
      <c r="C94" s="466">
        <v>732426.5</v>
      </c>
      <c r="D94" s="468"/>
      <c r="E94" s="466">
        <f>2230771.25+2341393.75</f>
        <v>4572165</v>
      </c>
      <c r="F94" s="468"/>
      <c r="G94" s="468"/>
      <c r="H94" s="468">
        <v>3</v>
      </c>
      <c r="I94" s="460">
        <f t="shared" si="5"/>
        <v>5304591.5</v>
      </c>
      <c r="J94" s="468"/>
      <c r="K94" s="460">
        <v>125535</v>
      </c>
      <c r="L94" s="460"/>
      <c r="M94" s="460">
        <v>745285.21</v>
      </c>
      <c r="N94" s="461"/>
      <c r="O94" s="463">
        <f t="shared" si="3"/>
        <v>6175411.71</v>
      </c>
      <c r="P94" s="461"/>
      <c r="Q94" s="463"/>
      <c r="R94" s="463">
        <f t="shared" si="4"/>
        <v>6175411.71</v>
      </c>
      <c r="S94" s="463"/>
    </row>
    <row r="95" spans="1:19" ht="15.5" x14ac:dyDescent="0.35">
      <c r="A95" s="471" t="s">
        <v>281</v>
      </c>
      <c r="B95" s="468"/>
      <c r="C95" s="466">
        <v>0</v>
      </c>
      <c r="D95" s="468"/>
      <c r="E95" s="466">
        <v>0</v>
      </c>
      <c r="F95" s="468"/>
      <c r="G95" s="468"/>
      <c r="H95" s="468">
        <v>3</v>
      </c>
      <c r="I95" s="460">
        <f t="shared" si="5"/>
        <v>0</v>
      </c>
      <c r="J95" s="468"/>
      <c r="K95" s="466">
        <v>0</v>
      </c>
      <c r="L95" s="466"/>
      <c r="M95" s="460">
        <v>0</v>
      </c>
      <c r="N95" s="461"/>
      <c r="O95" s="463">
        <f t="shared" si="3"/>
        <v>0</v>
      </c>
      <c r="P95" s="461"/>
      <c r="Q95" s="463"/>
      <c r="R95" s="463">
        <f t="shared" si="4"/>
        <v>0</v>
      </c>
      <c r="S95" s="463"/>
    </row>
    <row r="96" spans="1:19" ht="15.5" x14ac:dyDescent="0.35">
      <c r="A96" s="471" t="s">
        <v>282</v>
      </c>
      <c r="B96" s="468"/>
      <c r="C96" s="466">
        <v>0</v>
      </c>
      <c r="D96" s="468"/>
      <c r="E96" s="466">
        <v>0</v>
      </c>
      <c r="F96" s="468"/>
      <c r="G96" s="468"/>
      <c r="H96" s="468">
        <v>3</v>
      </c>
      <c r="I96" s="460">
        <f t="shared" si="5"/>
        <v>0</v>
      </c>
      <c r="J96" s="468"/>
      <c r="K96" s="466">
        <v>0</v>
      </c>
      <c r="L96" s="466"/>
      <c r="M96" s="460">
        <v>0</v>
      </c>
      <c r="N96" s="461"/>
      <c r="O96" s="463">
        <f t="shared" si="3"/>
        <v>0</v>
      </c>
      <c r="P96" s="461"/>
      <c r="Q96" s="463"/>
      <c r="R96" s="463">
        <f t="shared" si="4"/>
        <v>0</v>
      </c>
      <c r="S96" s="463"/>
    </row>
    <row r="97" spans="1:19" ht="15.5" x14ac:dyDescent="0.35">
      <c r="A97" s="455" t="s">
        <v>158</v>
      </c>
      <c r="B97" s="456"/>
      <c r="C97" s="466">
        <v>435274.85</v>
      </c>
      <c r="D97" s="456"/>
      <c r="E97" s="466">
        <v>0</v>
      </c>
      <c r="F97" s="456"/>
      <c r="G97" s="456"/>
      <c r="H97" s="456">
        <v>2</v>
      </c>
      <c r="I97" s="460">
        <f t="shared" si="5"/>
        <v>435274.85</v>
      </c>
      <c r="J97" s="456"/>
      <c r="K97" s="460">
        <v>1128040.3500000001</v>
      </c>
      <c r="L97" s="460"/>
      <c r="M97" s="460">
        <v>1093942.29</v>
      </c>
      <c r="N97" s="461"/>
      <c r="O97" s="463">
        <f t="shared" si="3"/>
        <v>2657257.4900000002</v>
      </c>
      <c r="P97" s="461"/>
      <c r="Q97" s="463"/>
      <c r="R97" s="463">
        <f t="shared" si="4"/>
        <v>2657257.4900000002</v>
      </c>
      <c r="S97" s="463"/>
    </row>
    <row r="98" spans="1:19" ht="15.5" x14ac:dyDescent="0.35">
      <c r="A98" s="471" t="s">
        <v>283</v>
      </c>
      <c r="B98" s="468"/>
      <c r="C98" s="466">
        <v>0</v>
      </c>
      <c r="D98" s="468"/>
      <c r="E98" s="466">
        <v>0</v>
      </c>
      <c r="F98" s="468"/>
      <c r="G98" s="468"/>
      <c r="H98" s="468">
        <v>3</v>
      </c>
      <c r="I98" s="460">
        <f t="shared" si="5"/>
        <v>0</v>
      </c>
      <c r="J98" s="468"/>
      <c r="K98" s="466">
        <v>0</v>
      </c>
      <c r="L98" s="466"/>
      <c r="M98" s="460">
        <v>0</v>
      </c>
      <c r="N98" s="461"/>
      <c r="O98" s="463">
        <f t="shared" si="3"/>
        <v>0</v>
      </c>
      <c r="P98" s="461"/>
      <c r="Q98" s="463"/>
      <c r="R98" s="463">
        <f t="shared" si="4"/>
        <v>0</v>
      </c>
      <c r="S98" s="463"/>
    </row>
    <row r="99" spans="1:19" ht="15.5" x14ac:dyDescent="0.35">
      <c r="A99" s="471" t="s">
        <v>284</v>
      </c>
      <c r="B99" s="468"/>
      <c r="C99" s="466">
        <v>0</v>
      </c>
      <c r="D99" s="468"/>
      <c r="E99" s="466">
        <v>0</v>
      </c>
      <c r="F99" s="468"/>
      <c r="G99" s="468"/>
      <c r="H99" s="468">
        <v>3</v>
      </c>
      <c r="I99" s="460">
        <f t="shared" si="5"/>
        <v>0</v>
      </c>
      <c r="J99" s="468"/>
      <c r="K99" s="466">
        <v>0</v>
      </c>
      <c r="L99" s="466"/>
      <c r="M99" s="460">
        <v>0</v>
      </c>
      <c r="N99" s="461"/>
      <c r="O99" s="463">
        <f t="shared" si="3"/>
        <v>0</v>
      </c>
      <c r="P99" s="461"/>
      <c r="Q99" s="463"/>
      <c r="R99" s="463">
        <f t="shared" si="4"/>
        <v>0</v>
      </c>
      <c r="S99" s="463"/>
    </row>
    <row r="100" spans="1:19" ht="15.5" x14ac:dyDescent="0.35">
      <c r="A100" s="471" t="s">
        <v>159</v>
      </c>
      <c r="B100" s="468"/>
      <c r="C100" s="466">
        <v>310706.25</v>
      </c>
      <c r="D100" s="468"/>
      <c r="E100" s="466">
        <v>0</v>
      </c>
      <c r="F100" s="468"/>
      <c r="G100" s="468"/>
      <c r="H100" s="468">
        <v>3</v>
      </c>
      <c r="I100" s="460">
        <f t="shared" si="5"/>
        <v>310706.25</v>
      </c>
      <c r="J100" s="468"/>
      <c r="K100" s="466">
        <v>0</v>
      </c>
      <c r="L100" s="466"/>
      <c r="M100" s="460">
        <v>37139.58</v>
      </c>
      <c r="N100" s="461"/>
      <c r="O100" s="463">
        <f t="shared" si="3"/>
        <v>347845.83</v>
      </c>
      <c r="P100" s="461"/>
      <c r="Q100" s="463"/>
      <c r="R100" s="463">
        <f t="shared" si="4"/>
        <v>347845.83</v>
      </c>
      <c r="S100" s="463"/>
    </row>
    <row r="101" spans="1:19" ht="15.5" x14ac:dyDescent="0.35">
      <c r="A101" s="455" t="s">
        <v>160</v>
      </c>
      <c r="B101" s="456"/>
      <c r="C101" s="466">
        <v>267500</v>
      </c>
      <c r="D101" s="456"/>
      <c r="E101" s="466">
        <v>0</v>
      </c>
      <c r="F101" s="456"/>
      <c r="G101" s="456"/>
      <c r="H101" s="456">
        <v>2</v>
      </c>
      <c r="I101" s="460">
        <f t="shared" si="5"/>
        <v>267500</v>
      </c>
      <c r="J101" s="456"/>
      <c r="K101" s="466">
        <v>0</v>
      </c>
      <c r="L101" s="466"/>
      <c r="M101" s="460">
        <v>0</v>
      </c>
      <c r="N101" s="461"/>
      <c r="O101" s="463">
        <f t="shared" si="3"/>
        <v>267500</v>
      </c>
      <c r="P101" s="461"/>
      <c r="Q101" s="463"/>
      <c r="R101" s="463">
        <f t="shared" si="4"/>
        <v>267500</v>
      </c>
      <c r="S101" s="463"/>
    </row>
    <row r="102" spans="1:19" ht="15.5" x14ac:dyDescent="0.35">
      <c r="A102" s="455" t="s">
        <v>161</v>
      </c>
      <c r="B102" s="456"/>
      <c r="C102" s="466">
        <v>0</v>
      </c>
      <c r="D102" s="456"/>
      <c r="E102" s="466">
        <v>0</v>
      </c>
      <c r="F102" s="456"/>
      <c r="G102" s="456"/>
      <c r="H102" s="456">
        <v>2</v>
      </c>
      <c r="I102" s="460">
        <f t="shared" si="5"/>
        <v>0</v>
      </c>
      <c r="J102" s="456"/>
      <c r="K102" s="460">
        <v>9284.27</v>
      </c>
      <c r="L102" s="460"/>
      <c r="M102" s="460">
        <v>0</v>
      </c>
      <c r="N102" s="461"/>
      <c r="O102" s="463">
        <f t="shared" si="3"/>
        <v>9284.27</v>
      </c>
      <c r="P102" s="461"/>
      <c r="Q102" s="463"/>
      <c r="R102" s="463">
        <f t="shared" si="4"/>
        <v>9284.27</v>
      </c>
      <c r="S102" s="463"/>
    </row>
    <row r="103" spans="1:19" ht="15.5" x14ac:dyDescent="0.35">
      <c r="A103" s="471" t="s">
        <v>162</v>
      </c>
      <c r="B103" s="468"/>
      <c r="C103" s="466">
        <v>0</v>
      </c>
      <c r="D103" s="468"/>
      <c r="E103" s="466">
        <v>0</v>
      </c>
      <c r="F103" s="468"/>
      <c r="G103" s="468"/>
      <c r="H103" s="468">
        <v>3</v>
      </c>
      <c r="I103" s="460">
        <f t="shared" si="5"/>
        <v>0</v>
      </c>
      <c r="J103" s="468"/>
      <c r="K103" s="460">
        <v>57170.27</v>
      </c>
      <c r="L103" s="460"/>
      <c r="M103" s="460">
        <v>0</v>
      </c>
      <c r="N103" s="461"/>
      <c r="O103" s="463">
        <f t="shared" si="3"/>
        <v>57170.27</v>
      </c>
      <c r="P103" s="461"/>
      <c r="Q103" s="463"/>
      <c r="R103" s="463">
        <f t="shared" si="4"/>
        <v>57170.27</v>
      </c>
      <c r="S103" s="463"/>
    </row>
    <row r="104" spans="1:19" ht="15.5" x14ac:dyDescent="0.35">
      <c r="A104" s="471" t="s">
        <v>163</v>
      </c>
      <c r="B104" s="468"/>
      <c r="C104" s="466">
        <v>86211.44</v>
      </c>
      <c r="D104" s="468"/>
      <c r="E104" s="466">
        <v>0</v>
      </c>
      <c r="F104" s="468"/>
      <c r="G104" s="468"/>
      <c r="H104" s="468">
        <v>3</v>
      </c>
      <c r="I104" s="460">
        <f t="shared" si="5"/>
        <v>86211.44</v>
      </c>
      <c r="J104" s="468"/>
      <c r="K104" s="466">
        <v>0</v>
      </c>
      <c r="L104" s="466"/>
      <c r="M104" s="460">
        <v>0</v>
      </c>
      <c r="N104" s="461"/>
      <c r="O104" s="463">
        <f t="shared" si="3"/>
        <v>86211.44</v>
      </c>
      <c r="P104" s="461"/>
      <c r="Q104" s="463"/>
      <c r="R104" s="463">
        <f t="shared" si="4"/>
        <v>86211.44</v>
      </c>
      <c r="S104" s="463"/>
    </row>
    <row r="105" spans="1:19" ht="15.5" x14ac:dyDescent="0.35">
      <c r="A105" s="471" t="s">
        <v>164</v>
      </c>
      <c r="B105" s="468"/>
      <c r="C105" s="466">
        <v>13400.21</v>
      </c>
      <c r="D105" s="468"/>
      <c r="E105" s="466">
        <v>0</v>
      </c>
      <c r="F105" s="468"/>
      <c r="G105" s="468"/>
      <c r="H105" s="468">
        <v>3</v>
      </c>
      <c r="I105" s="460">
        <f t="shared" si="5"/>
        <v>13400.21</v>
      </c>
      <c r="J105" s="468"/>
      <c r="K105" s="460">
        <v>790258.78</v>
      </c>
      <c r="L105" s="460"/>
      <c r="M105" s="460">
        <v>1084496.94</v>
      </c>
      <c r="N105" s="461"/>
      <c r="O105" s="463">
        <f t="shared" si="3"/>
        <v>1888155.93</v>
      </c>
      <c r="P105" s="461"/>
      <c r="Q105" s="463"/>
      <c r="R105" s="463">
        <f t="shared" si="4"/>
        <v>1888155.93</v>
      </c>
      <c r="S105" s="463"/>
    </row>
    <row r="106" spans="1:19" ht="15.5" x14ac:dyDescent="0.35">
      <c r="A106" s="471" t="s">
        <v>285</v>
      </c>
      <c r="B106" s="468"/>
      <c r="C106" s="466">
        <v>0</v>
      </c>
      <c r="D106" s="468"/>
      <c r="E106" s="466">
        <v>0</v>
      </c>
      <c r="F106" s="468"/>
      <c r="G106" s="468"/>
      <c r="H106" s="468">
        <v>3</v>
      </c>
      <c r="I106" s="460">
        <f t="shared" si="5"/>
        <v>0</v>
      </c>
      <c r="J106" s="468"/>
      <c r="K106" s="466">
        <v>0</v>
      </c>
      <c r="L106" s="466"/>
      <c r="M106" s="460">
        <v>113050</v>
      </c>
      <c r="N106" s="461"/>
      <c r="O106" s="463">
        <f t="shared" si="3"/>
        <v>113050</v>
      </c>
      <c r="P106" s="461"/>
      <c r="Q106" s="463"/>
      <c r="R106" s="463">
        <f t="shared" si="4"/>
        <v>113050</v>
      </c>
      <c r="S106" s="463"/>
    </row>
    <row r="107" spans="1:19" ht="15.5" x14ac:dyDescent="0.35">
      <c r="A107" s="471" t="s">
        <v>165</v>
      </c>
      <c r="B107" s="468"/>
      <c r="C107" s="466">
        <v>0</v>
      </c>
      <c r="D107" s="468"/>
      <c r="E107" s="466">
        <v>0</v>
      </c>
      <c r="F107" s="468"/>
      <c r="G107" s="468"/>
      <c r="H107" s="468">
        <v>3</v>
      </c>
      <c r="I107" s="460">
        <f t="shared" si="5"/>
        <v>0</v>
      </c>
      <c r="J107" s="468"/>
      <c r="K107" s="466">
        <v>0</v>
      </c>
      <c r="L107" s="466"/>
      <c r="M107" s="460">
        <v>99941</v>
      </c>
      <c r="N107" s="461"/>
      <c r="O107" s="463">
        <f t="shared" si="3"/>
        <v>99941</v>
      </c>
      <c r="P107" s="461"/>
      <c r="Q107" s="463"/>
      <c r="R107" s="463">
        <f t="shared" si="4"/>
        <v>99941</v>
      </c>
      <c r="S107" s="463"/>
    </row>
    <row r="108" spans="1:19" ht="15.5" x14ac:dyDescent="0.35">
      <c r="A108" s="471" t="s">
        <v>166</v>
      </c>
      <c r="B108" s="468"/>
      <c r="C108" s="466">
        <v>135950.29999999999</v>
      </c>
      <c r="D108" s="468"/>
      <c r="E108" s="466">
        <v>0</v>
      </c>
      <c r="F108" s="468"/>
      <c r="G108" s="468"/>
      <c r="H108" s="468">
        <v>3</v>
      </c>
      <c r="I108" s="460">
        <f t="shared" si="5"/>
        <v>135950.29999999999</v>
      </c>
      <c r="J108" s="468"/>
      <c r="K108" s="460">
        <v>14004.23</v>
      </c>
      <c r="L108" s="460"/>
      <c r="M108" s="460">
        <v>748256.46</v>
      </c>
      <c r="N108" s="461"/>
      <c r="O108" s="463">
        <f t="shared" si="3"/>
        <v>898210.99</v>
      </c>
      <c r="P108" s="461"/>
      <c r="Q108" s="463"/>
      <c r="R108" s="463">
        <f t="shared" si="4"/>
        <v>898210.99</v>
      </c>
      <c r="S108" s="463"/>
    </row>
    <row r="109" spans="1:19" ht="15.5" x14ac:dyDescent="0.35">
      <c r="A109" s="464" t="s">
        <v>167</v>
      </c>
      <c r="B109" s="465"/>
      <c r="C109" s="466">
        <v>510140.6</v>
      </c>
      <c r="D109" s="465"/>
      <c r="E109" s="466">
        <v>0</v>
      </c>
      <c r="F109" s="465"/>
      <c r="G109" s="465"/>
      <c r="H109" s="465">
        <v>1</v>
      </c>
      <c r="I109" s="460">
        <f t="shared" si="5"/>
        <v>510140.6</v>
      </c>
      <c r="J109" s="465"/>
      <c r="K109" s="460">
        <v>8970</v>
      </c>
      <c r="L109" s="460"/>
      <c r="M109" s="460">
        <v>0</v>
      </c>
      <c r="N109" s="461"/>
      <c r="O109" s="463">
        <f t="shared" si="3"/>
        <v>519110.6</v>
      </c>
      <c r="P109" s="461"/>
      <c r="Q109" s="463"/>
      <c r="R109" s="463">
        <f t="shared" si="4"/>
        <v>519110.6</v>
      </c>
      <c r="S109" s="463"/>
    </row>
    <row r="110" spans="1:19" ht="15.5" x14ac:dyDescent="0.35">
      <c r="A110" s="464" t="s">
        <v>168</v>
      </c>
      <c r="B110" s="465"/>
      <c r="C110" s="466">
        <v>9485898.7100000009</v>
      </c>
      <c r="D110" s="465"/>
      <c r="E110" s="466">
        <f>1551516.7+1233569.07</f>
        <v>2785085.77</v>
      </c>
      <c r="F110" s="465"/>
      <c r="G110" s="465"/>
      <c r="H110" s="465">
        <v>1</v>
      </c>
      <c r="I110" s="460">
        <f t="shared" si="5"/>
        <v>12270984.48</v>
      </c>
      <c r="J110" s="465"/>
      <c r="K110" s="460">
        <v>241171</v>
      </c>
      <c r="L110" s="460"/>
      <c r="M110" s="460">
        <v>10075147.970000001</v>
      </c>
      <c r="N110" s="461"/>
      <c r="O110" s="463">
        <f t="shared" si="3"/>
        <v>22587303.450000003</v>
      </c>
      <c r="P110" s="461"/>
      <c r="Q110" s="463"/>
      <c r="R110" s="463">
        <f t="shared" si="4"/>
        <v>22587303.450000003</v>
      </c>
      <c r="S110" s="463"/>
    </row>
    <row r="111" spans="1:19" ht="15.5" x14ac:dyDescent="0.35">
      <c r="A111" s="472" t="s">
        <v>286</v>
      </c>
      <c r="B111" s="465"/>
      <c r="C111" s="466">
        <v>613320.77</v>
      </c>
      <c r="D111" s="465"/>
      <c r="E111" s="466">
        <v>0</v>
      </c>
      <c r="F111" s="465"/>
      <c r="G111" s="465"/>
      <c r="H111" s="473">
        <v>3</v>
      </c>
      <c r="I111" s="460">
        <f t="shared" si="5"/>
        <v>613320.77</v>
      </c>
      <c r="J111" s="465"/>
      <c r="K111" s="466">
        <v>0</v>
      </c>
      <c r="L111" s="460"/>
      <c r="M111" s="460">
        <v>0</v>
      </c>
      <c r="N111" s="461"/>
      <c r="O111" s="463">
        <f t="shared" si="3"/>
        <v>613320.77</v>
      </c>
      <c r="P111" s="461"/>
      <c r="Q111" s="463"/>
      <c r="R111" s="463">
        <f t="shared" si="4"/>
        <v>613320.77</v>
      </c>
      <c r="S111" s="463"/>
    </row>
    <row r="112" spans="1:19" ht="15.5" x14ac:dyDescent="0.35">
      <c r="A112" s="464" t="s">
        <v>169</v>
      </c>
      <c r="B112" s="465"/>
      <c r="C112" s="466">
        <v>700705.87</v>
      </c>
      <c r="D112" s="465"/>
      <c r="E112" s="466">
        <v>0</v>
      </c>
      <c r="F112" s="465"/>
      <c r="G112" s="465"/>
      <c r="H112" s="465">
        <v>1</v>
      </c>
      <c r="I112" s="460">
        <f t="shared" si="5"/>
        <v>700705.87</v>
      </c>
      <c r="J112" s="465"/>
      <c r="K112" s="466">
        <v>50530</v>
      </c>
      <c r="L112" s="466"/>
      <c r="M112" s="460">
        <v>2843879.66</v>
      </c>
      <c r="N112" s="461"/>
      <c r="O112" s="463">
        <f t="shared" si="3"/>
        <v>3595115.5300000003</v>
      </c>
      <c r="P112" s="461"/>
      <c r="Q112" s="463"/>
      <c r="R112" s="463">
        <f t="shared" si="4"/>
        <v>3595115.5300000003</v>
      </c>
      <c r="S112" s="463"/>
    </row>
    <row r="113" spans="1:19" s="216" customFormat="1" ht="15.5" x14ac:dyDescent="0.35">
      <c r="A113" s="471" t="s">
        <v>287</v>
      </c>
      <c r="B113" s="468"/>
      <c r="C113" s="466">
        <v>0</v>
      </c>
      <c r="D113" s="468"/>
      <c r="E113" s="466">
        <v>0</v>
      </c>
      <c r="F113" s="468"/>
      <c r="G113" s="468"/>
      <c r="H113" s="468">
        <v>3</v>
      </c>
      <c r="I113" s="460">
        <f t="shared" si="5"/>
        <v>0</v>
      </c>
      <c r="J113" s="468"/>
      <c r="K113" s="466">
        <v>0</v>
      </c>
      <c r="L113" s="466"/>
      <c r="M113" s="460">
        <v>0</v>
      </c>
      <c r="N113" s="461"/>
      <c r="O113" s="463">
        <f t="shared" si="3"/>
        <v>0</v>
      </c>
      <c r="P113" s="461"/>
      <c r="Q113" s="463"/>
      <c r="R113" s="463">
        <f t="shared" si="4"/>
        <v>0</v>
      </c>
      <c r="S113" s="463"/>
    </row>
    <row r="114" spans="1:19" s="216" customFormat="1" ht="15.5" x14ac:dyDescent="0.35">
      <c r="A114" s="464" t="s">
        <v>170</v>
      </c>
      <c r="B114" s="465"/>
      <c r="C114" s="466">
        <v>6353670.7000000002</v>
      </c>
      <c r="D114" s="465"/>
      <c r="E114" s="466">
        <v>0</v>
      </c>
      <c r="F114" s="465"/>
      <c r="G114" s="465"/>
      <c r="H114" s="465">
        <v>1</v>
      </c>
      <c r="I114" s="460">
        <f t="shared" si="5"/>
        <v>6353670.7000000002</v>
      </c>
      <c r="J114" s="465"/>
      <c r="K114" s="466">
        <v>0</v>
      </c>
      <c r="L114" s="466"/>
      <c r="M114" s="460">
        <v>22640</v>
      </c>
      <c r="N114" s="461"/>
      <c r="O114" s="463">
        <f t="shared" si="3"/>
        <v>6376310.7000000002</v>
      </c>
      <c r="P114" s="461"/>
      <c r="Q114" s="463"/>
      <c r="R114" s="463">
        <f t="shared" si="4"/>
        <v>6376310.7000000002</v>
      </c>
      <c r="S114" s="463"/>
    </row>
    <row r="115" spans="1:19" s="216" customFormat="1" ht="15.5" x14ac:dyDescent="0.35">
      <c r="A115" s="471" t="s">
        <v>171</v>
      </c>
      <c r="B115" s="468"/>
      <c r="C115" s="466">
        <v>356605.41</v>
      </c>
      <c r="D115" s="468"/>
      <c r="E115" s="466">
        <v>0</v>
      </c>
      <c r="F115" s="468"/>
      <c r="G115" s="468"/>
      <c r="H115" s="468">
        <v>3</v>
      </c>
      <c r="I115" s="460">
        <f t="shared" si="5"/>
        <v>356605.41</v>
      </c>
      <c r="J115" s="468"/>
      <c r="K115" s="466">
        <v>0</v>
      </c>
      <c r="L115" s="466"/>
      <c r="M115" s="460">
        <v>460510.4</v>
      </c>
      <c r="N115" s="461"/>
      <c r="O115" s="463">
        <f t="shared" si="3"/>
        <v>817115.81</v>
      </c>
      <c r="P115" s="461"/>
      <c r="Q115" s="463"/>
      <c r="R115" s="463">
        <f t="shared" si="4"/>
        <v>817115.81</v>
      </c>
      <c r="S115" s="463"/>
    </row>
    <row r="116" spans="1:19" s="216" customFormat="1" ht="15.5" x14ac:dyDescent="0.35">
      <c r="A116" s="464" t="s">
        <v>288</v>
      </c>
      <c r="B116" s="465"/>
      <c r="C116" s="466">
        <v>0</v>
      </c>
      <c r="D116" s="465"/>
      <c r="E116" s="466">
        <v>0</v>
      </c>
      <c r="F116" s="465"/>
      <c r="G116" s="465"/>
      <c r="H116" s="465">
        <v>1</v>
      </c>
      <c r="I116" s="460">
        <f t="shared" si="5"/>
        <v>0</v>
      </c>
      <c r="J116" s="465"/>
      <c r="K116" s="466">
        <v>0</v>
      </c>
      <c r="L116" s="466"/>
      <c r="M116" s="460">
        <v>0</v>
      </c>
      <c r="N116" s="461"/>
      <c r="O116" s="463">
        <f t="shared" si="3"/>
        <v>0</v>
      </c>
      <c r="P116" s="461"/>
      <c r="Q116" s="463"/>
      <c r="R116" s="463">
        <f t="shared" si="4"/>
        <v>0</v>
      </c>
      <c r="S116" s="463"/>
    </row>
    <row r="117" spans="1:19" s="216" customFormat="1" ht="15.5" x14ac:dyDescent="0.35">
      <c r="A117" s="471" t="s">
        <v>172</v>
      </c>
      <c r="B117" s="468"/>
      <c r="C117" s="466">
        <v>187952</v>
      </c>
      <c r="D117" s="468"/>
      <c r="E117" s="466">
        <v>0</v>
      </c>
      <c r="F117" s="468"/>
      <c r="G117" s="468"/>
      <c r="H117" s="468">
        <v>3</v>
      </c>
      <c r="I117" s="460">
        <f t="shared" si="5"/>
        <v>187952</v>
      </c>
      <c r="J117" s="468"/>
      <c r="K117" s="466">
        <v>0</v>
      </c>
      <c r="L117" s="466"/>
      <c r="M117" s="460">
        <v>8352</v>
      </c>
      <c r="N117" s="461"/>
      <c r="O117" s="463">
        <f t="shared" si="3"/>
        <v>196304</v>
      </c>
      <c r="P117" s="461"/>
      <c r="Q117" s="463"/>
      <c r="R117" s="463">
        <f t="shared" si="4"/>
        <v>196304</v>
      </c>
      <c r="S117" s="463"/>
    </row>
    <row r="118" spans="1:19" s="216" customFormat="1" ht="15.5" x14ac:dyDescent="0.35">
      <c r="A118" s="471" t="s">
        <v>289</v>
      </c>
      <c r="B118" s="468"/>
      <c r="C118" s="466">
        <v>0</v>
      </c>
      <c r="D118" s="468"/>
      <c r="E118" s="466">
        <v>0</v>
      </c>
      <c r="F118" s="468"/>
      <c r="G118" s="468"/>
      <c r="H118" s="468">
        <v>3</v>
      </c>
      <c r="I118" s="460">
        <f t="shared" si="5"/>
        <v>0</v>
      </c>
      <c r="J118" s="468"/>
      <c r="K118" s="466">
        <v>0</v>
      </c>
      <c r="L118" s="466"/>
      <c r="M118" s="460">
        <v>0</v>
      </c>
      <c r="N118" s="461"/>
      <c r="O118" s="463">
        <f t="shared" si="3"/>
        <v>0</v>
      </c>
      <c r="P118" s="461"/>
      <c r="Q118" s="463"/>
      <c r="R118" s="463">
        <f t="shared" si="4"/>
        <v>0</v>
      </c>
      <c r="S118" s="463"/>
    </row>
    <row r="119" spans="1:19" s="216" customFormat="1" ht="15.5" x14ac:dyDescent="0.35">
      <c r="A119" s="471" t="s">
        <v>173</v>
      </c>
      <c r="B119" s="468"/>
      <c r="C119" s="466">
        <v>353468.4</v>
      </c>
      <c r="D119" s="468"/>
      <c r="E119" s="466">
        <v>0</v>
      </c>
      <c r="F119" s="468"/>
      <c r="G119" s="468"/>
      <c r="H119" s="468">
        <v>3</v>
      </c>
      <c r="I119" s="460">
        <f t="shared" si="5"/>
        <v>353468.4</v>
      </c>
      <c r="J119" s="468"/>
      <c r="K119" s="466">
        <v>0</v>
      </c>
      <c r="L119" s="466"/>
      <c r="M119" s="460">
        <v>0</v>
      </c>
      <c r="N119" s="461"/>
      <c r="O119" s="463">
        <f t="shared" si="3"/>
        <v>353468.4</v>
      </c>
      <c r="P119" s="461"/>
      <c r="Q119" s="463"/>
      <c r="R119" s="463">
        <f t="shared" si="4"/>
        <v>353468.4</v>
      </c>
      <c r="S119" s="463"/>
    </row>
    <row r="120" spans="1:19" ht="15.5" x14ac:dyDescent="0.35">
      <c r="A120" s="471" t="s">
        <v>290</v>
      </c>
      <c r="B120" s="468"/>
      <c r="C120" s="466">
        <v>0</v>
      </c>
      <c r="D120" s="468"/>
      <c r="E120" s="466">
        <v>0</v>
      </c>
      <c r="F120" s="468"/>
      <c r="G120" s="468"/>
      <c r="H120" s="468">
        <v>3</v>
      </c>
      <c r="I120" s="460">
        <f t="shared" si="5"/>
        <v>0</v>
      </c>
      <c r="J120" s="468"/>
      <c r="K120" s="466">
        <v>0</v>
      </c>
      <c r="L120" s="466"/>
      <c r="M120" s="460">
        <v>0</v>
      </c>
      <c r="N120" s="461"/>
      <c r="O120" s="463">
        <f t="shared" si="3"/>
        <v>0</v>
      </c>
      <c r="P120" s="461"/>
      <c r="Q120" s="463"/>
      <c r="R120" s="463">
        <f t="shared" si="4"/>
        <v>0</v>
      </c>
      <c r="S120" s="463"/>
    </row>
    <row r="121" spans="1:19" ht="15.5" x14ac:dyDescent="0.35">
      <c r="A121" s="464" t="s">
        <v>174</v>
      </c>
      <c r="B121" s="465"/>
      <c r="C121" s="466">
        <v>118148.5</v>
      </c>
      <c r="D121" s="465"/>
      <c r="E121" s="466">
        <v>0</v>
      </c>
      <c r="F121" s="465"/>
      <c r="G121" s="465"/>
      <c r="H121" s="465">
        <v>1</v>
      </c>
      <c r="I121" s="460">
        <f t="shared" si="5"/>
        <v>118148.5</v>
      </c>
      <c r="J121" s="465"/>
      <c r="K121" s="466">
        <v>124320</v>
      </c>
      <c r="L121" s="466"/>
      <c r="M121" s="460">
        <v>569712</v>
      </c>
      <c r="N121" s="461"/>
      <c r="O121" s="463">
        <f t="shared" si="3"/>
        <v>812180.5</v>
      </c>
      <c r="P121" s="461"/>
      <c r="Q121" s="463"/>
      <c r="R121" s="463">
        <f t="shared" si="4"/>
        <v>812180.5</v>
      </c>
      <c r="S121" s="463"/>
    </row>
    <row r="122" spans="1:19" ht="15.5" x14ac:dyDescent="0.35">
      <c r="A122" s="471" t="s">
        <v>291</v>
      </c>
      <c r="B122" s="468"/>
      <c r="C122" s="466">
        <v>0</v>
      </c>
      <c r="D122" s="468"/>
      <c r="E122" s="466">
        <v>0</v>
      </c>
      <c r="F122" s="468"/>
      <c r="G122" s="468"/>
      <c r="H122" s="468">
        <v>3</v>
      </c>
      <c r="I122" s="460">
        <f t="shared" si="5"/>
        <v>0</v>
      </c>
      <c r="J122" s="468"/>
      <c r="K122" s="466">
        <v>0</v>
      </c>
      <c r="L122" s="466"/>
      <c r="M122" s="460">
        <v>0</v>
      </c>
      <c r="N122" s="461"/>
      <c r="O122" s="463">
        <f t="shared" si="3"/>
        <v>0</v>
      </c>
      <c r="P122" s="461"/>
      <c r="Q122" s="463"/>
      <c r="R122" s="463">
        <f t="shared" si="4"/>
        <v>0</v>
      </c>
      <c r="S122" s="463"/>
    </row>
    <row r="123" spans="1:19" ht="15.5" x14ac:dyDescent="0.35">
      <c r="A123" s="471" t="s">
        <v>292</v>
      </c>
      <c r="B123" s="468"/>
      <c r="C123" s="466">
        <v>0</v>
      </c>
      <c r="D123" s="468"/>
      <c r="E123" s="466">
        <v>0</v>
      </c>
      <c r="F123" s="468"/>
      <c r="G123" s="468"/>
      <c r="H123" s="468">
        <v>3</v>
      </c>
      <c r="I123" s="460">
        <f t="shared" si="5"/>
        <v>0</v>
      </c>
      <c r="J123" s="468"/>
      <c r="K123" s="466">
        <v>0</v>
      </c>
      <c r="L123" s="466"/>
      <c r="M123" s="460">
        <v>0</v>
      </c>
      <c r="N123" s="461"/>
      <c r="O123" s="463">
        <f t="shared" si="3"/>
        <v>0</v>
      </c>
      <c r="P123" s="461"/>
      <c r="Q123" s="463"/>
      <c r="R123" s="463">
        <f t="shared" si="4"/>
        <v>0</v>
      </c>
      <c r="S123" s="463"/>
    </row>
    <row r="124" spans="1:19" ht="15.5" x14ac:dyDescent="0.35">
      <c r="A124" s="471" t="s">
        <v>175</v>
      </c>
      <c r="B124" s="468"/>
      <c r="C124" s="466">
        <v>53148.4</v>
      </c>
      <c r="D124" s="468"/>
      <c r="E124" s="466">
        <v>0</v>
      </c>
      <c r="F124" s="468"/>
      <c r="G124" s="468"/>
      <c r="H124" s="468">
        <v>3</v>
      </c>
      <c r="I124" s="460">
        <f t="shared" si="5"/>
        <v>53148.4</v>
      </c>
      <c r="J124" s="468"/>
      <c r="K124" s="466">
        <v>0</v>
      </c>
      <c r="L124" s="466"/>
      <c r="M124" s="460">
        <v>0</v>
      </c>
      <c r="N124" s="461"/>
      <c r="O124" s="463">
        <f t="shared" si="3"/>
        <v>53148.4</v>
      </c>
      <c r="P124" s="461"/>
      <c r="Q124" s="463"/>
      <c r="R124" s="463">
        <f t="shared" si="4"/>
        <v>53148.4</v>
      </c>
      <c r="S124" s="463"/>
    </row>
    <row r="125" spans="1:19" ht="15.5" x14ac:dyDescent="0.35">
      <c r="A125" s="471" t="s">
        <v>293</v>
      </c>
      <c r="B125" s="468"/>
      <c r="C125" s="466">
        <v>31920</v>
      </c>
      <c r="D125" s="468"/>
      <c r="E125" s="466">
        <v>0</v>
      </c>
      <c r="F125" s="468"/>
      <c r="G125" s="468"/>
      <c r="H125" s="468">
        <v>3</v>
      </c>
      <c r="I125" s="460">
        <f t="shared" si="5"/>
        <v>31920</v>
      </c>
      <c r="J125" s="468"/>
      <c r="K125" s="466">
        <v>0</v>
      </c>
      <c r="L125" s="466"/>
      <c r="M125" s="460">
        <v>0</v>
      </c>
      <c r="N125" s="461"/>
      <c r="O125" s="463">
        <f t="shared" si="3"/>
        <v>31920</v>
      </c>
      <c r="P125" s="461"/>
      <c r="Q125" s="463"/>
      <c r="R125" s="463">
        <f t="shared" si="4"/>
        <v>31920</v>
      </c>
      <c r="S125" s="463"/>
    </row>
    <row r="126" spans="1:19" ht="15.5" x14ac:dyDescent="0.35">
      <c r="A126" s="471" t="s">
        <v>176</v>
      </c>
      <c r="B126" s="468"/>
      <c r="C126" s="466">
        <v>221472</v>
      </c>
      <c r="D126" s="468"/>
      <c r="E126" s="466">
        <v>0</v>
      </c>
      <c r="F126" s="468"/>
      <c r="G126" s="468"/>
      <c r="H126" s="468">
        <v>3</v>
      </c>
      <c r="I126" s="460">
        <f t="shared" si="5"/>
        <v>221472</v>
      </c>
      <c r="J126" s="468"/>
      <c r="K126" s="466">
        <v>0</v>
      </c>
      <c r="L126" s="466"/>
      <c r="M126" s="460">
        <v>0</v>
      </c>
      <c r="N126" s="461"/>
      <c r="O126" s="463">
        <f t="shared" si="3"/>
        <v>221472</v>
      </c>
      <c r="P126" s="461"/>
      <c r="Q126" s="463"/>
      <c r="R126" s="463">
        <f t="shared" si="4"/>
        <v>221472</v>
      </c>
      <c r="S126" s="463"/>
    </row>
    <row r="127" spans="1:19" ht="15.5" x14ac:dyDescent="0.35">
      <c r="A127" s="471" t="s">
        <v>177</v>
      </c>
      <c r="B127" s="468"/>
      <c r="C127" s="466">
        <v>0</v>
      </c>
      <c r="D127" s="468"/>
      <c r="E127" s="466">
        <f>51350+168900</f>
        <v>220250</v>
      </c>
      <c r="F127" s="468"/>
      <c r="G127" s="468"/>
      <c r="H127" s="468">
        <v>3</v>
      </c>
      <c r="I127" s="460">
        <f t="shared" si="5"/>
        <v>220250</v>
      </c>
      <c r="J127" s="468"/>
      <c r="K127" s="460">
        <f>192125+20250</f>
        <v>212375</v>
      </c>
      <c r="L127" s="460"/>
      <c r="M127" s="460">
        <v>263799.32</v>
      </c>
      <c r="N127" s="461"/>
      <c r="O127" s="463">
        <f t="shared" si="3"/>
        <v>696424.32000000007</v>
      </c>
      <c r="P127" s="461"/>
      <c r="Q127" s="463"/>
      <c r="R127" s="463">
        <f t="shared" si="4"/>
        <v>696424.32000000007</v>
      </c>
      <c r="S127" s="463"/>
    </row>
    <row r="128" spans="1:19" ht="15.5" x14ac:dyDescent="0.35">
      <c r="A128" s="471" t="s">
        <v>178</v>
      </c>
      <c r="B128" s="468"/>
      <c r="C128" s="466">
        <v>344410.39</v>
      </c>
      <c r="D128" s="468"/>
      <c r="E128" s="466">
        <v>0</v>
      </c>
      <c r="F128" s="468"/>
      <c r="G128" s="468"/>
      <c r="H128" s="468">
        <v>3</v>
      </c>
      <c r="I128" s="460">
        <f t="shared" si="5"/>
        <v>344410.39</v>
      </c>
      <c r="J128" s="468"/>
      <c r="K128" s="460">
        <v>5240</v>
      </c>
      <c r="L128" s="460"/>
      <c r="M128" s="460">
        <v>79519.16</v>
      </c>
      <c r="N128" s="461"/>
      <c r="O128" s="463">
        <f t="shared" si="3"/>
        <v>429169.55000000005</v>
      </c>
      <c r="P128" s="461"/>
      <c r="Q128" s="463"/>
      <c r="R128" s="463">
        <f t="shared" si="4"/>
        <v>429169.55000000005</v>
      </c>
      <c r="S128" s="463"/>
    </row>
    <row r="129" spans="1:19" ht="15.5" x14ac:dyDescent="0.35">
      <c r="A129" s="471" t="s">
        <v>179</v>
      </c>
      <c r="B129" s="468"/>
      <c r="C129" s="466">
        <v>19300</v>
      </c>
      <c r="D129" s="468"/>
      <c r="E129" s="466">
        <v>0</v>
      </c>
      <c r="F129" s="468"/>
      <c r="G129" s="468"/>
      <c r="H129" s="468">
        <v>3</v>
      </c>
      <c r="I129" s="460">
        <f t="shared" si="5"/>
        <v>19300</v>
      </c>
      <c r="J129" s="468"/>
      <c r="K129" s="460">
        <v>137389.39000000001</v>
      </c>
      <c r="L129" s="460"/>
      <c r="M129" s="460">
        <v>213473.57</v>
      </c>
      <c r="N129" s="461"/>
      <c r="O129" s="463">
        <f t="shared" si="3"/>
        <v>370162.96</v>
      </c>
      <c r="P129" s="461"/>
      <c r="Q129" s="463"/>
      <c r="R129" s="463">
        <f t="shared" si="4"/>
        <v>370162.96</v>
      </c>
      <c r="S129" s="463"/>
    </row>
    <row r="130" spans="1:19" ht="15.5" x14ac:dyDescent="0.35">
      <c r="A130" s="471" t="s">
        <v>180</v>
      </c>
      <c r="B130" s="468"/>
      <c r="C130" s="466">
        <v>102989.8</v>
      </c>
      <c r="D130" s="468"/>
      <c r="E130" s="466">
        <v>0</v>
      </c>
      <c r="F130" s="468"/>
      <c r="G130" s="468"/>
      <c r="H130" s="468">
        <v>3</v>
      </c>
      <c r="I130" s="460">
        <f t="shared" si="5"/>
        <v>102989.8</v>
      </c>
      <c r="J130" s="468"/>
      <c r="K130" s="460">
        <v>29941.73</v>
      </c>
      <c r="L130" s="460"/>
      <c r="M130" s="460">
        <v>0</v>
      </c>
      <c r="N130" s="461"/>
      <c r="O130" s="463">
        <f t="shared" si="3"/>
        <v>132931.53</v>
      </c>
      <c r="P130" s="461"/>
      <c r="Q130" s="463"/>
      <c r="R130" s="463">
        <f t="shared" si="4"/>
        <v>132931.53</v>
      </c>
      <c r="S130" s="463"/>
    </row>
    <row r="131" spans="1:19" ht="15.5" x14ac:dyDescent="0.35">
      <c r="A131" s="471" t="s">
        <v>181</v>
      </c>
      <c r="B131" s="468"/>
      <c r="C131" s="466">
        <v>277082.67</v>
      </c>
      <c r="D131" s="468"/>
      <c r="E131" s="466">
        <v>0</v>
      </c>
      <c r="F131" s="468"/>
      <c r="G131" s="468"/>
      <c r="H131" s="468">
        <v>3</v>
      </c>
      <c r="I131" s="460">
        <f t="shared" si="5"/>
        <v>277082.67</v>
      </c>
      <c r="J131" s="468"/>
      <c r="K131" s="466">
        <v>0</v>
      </c>
      <c r="L131" s="466"/>
      <c r="M131" s="460">
        <v>1491671.95</v>
      </c>
      <c r="N131" s="461"/>
      <c r="O131" s="463">
        <f t="shared" si="3"/>
        <v>1768754.6199999999</v>
      </c>
      <c r="P131" s="461"/>
      <c r="Q131" s="463"/>
      <c r="R131" s="463">
        <f t="shared" si="4"/>
        <v>1768754.6199999999</v>
      </c>
      <c r="S131" s="463"/>
    </row>
    <row r="132" spans="1:19" ht="15.5" x14ac:dyDescent="0.35">
      <c r="A132" s="471" t="s">
        <v>294</v>
      </c>
      <c r="B132" s="468"/>
      <c r="C132" s="466">
        <v>0</v>
      </c>
      <c r="D132" s="468"/>
      <c r="E132" s="466">
        <v>0</v>
      </c>
      <c r="F132" s="468"/>
      <c r="G132" s="468"/>
      <c r="H132" s="468">
        <v>3</v>
      </c>
      <c r="I132" s="460">
        <f t="shared" si="5"/>
        <v>0</v>
      </c>
      <c r="J132" s="468"/>
      <c r="K132" s="466">
        <v>0</v>
      </c>
      <c r="L132" s="466"/>
      <c r="M132" s="460">
        <v>0</v>
      </c>
      <c r="N132" s="461"/>
      <c r="O132" s="463">
        <f t="shared" ref="O132:O149" si="6">+M132+K132+I132</f>
        <v>0</v>
      </c>
      <c r="P132" s="461"/>
      <c r="Q132" s="463"/>
      <c r="R132" s="463">
        <f t="shared" si="4"/>
        <v>0</v>
      </c>
      <c r="S132" s="463"/>
    </row>
    <row r="133" spans="1:19" ht="15.5" x14ac:dyDescent="0.35">
      <c r="A133" s="464" t="s">
        <v>182</v>
      </c>
      <c r="B133" s="465"/>
      <c r="C133" s="466">
        <v>60102</v>
      </c>
      <c r="D133" s="465"/>
      <c r="E133" s="466">
        <v>0</v>
      </c>
      <c r="F133" s="465"/>
      <c r="G133" s="465"/>
      <c r="H133" s="465">
        <v>1</v>
      </c>
      <c r="I133" s="460">
        <f t="shared" si="5"/>
        <v>60102</v>
      </c>
      <c r="J133" s="465"/>
      <c r="K133" s="466">
        <v>0</v>
      </c>
      <c r="L133" s="466"/>
      <c r="M133" s="460">
        <v>0</v>
      </c>
      <c r="N133" s="461"/>
      <c r="O133" s="463">
        <f t="shared" si="6"/>
        <v>60102</v>
      </c>
      <c r="P133" s="461"/>
      <c r="Q133" s="463"/>
      <c r="R133" s="463">
        <f t="shared" ref="R133:R149" si="7">+Q133+O133</f>
        <v>60102</v>
      </c>
      <c r="S133" s="463"/>
    </row>
    <row r="134" spans="1:19" ht="15.5" x14ac:dyDescent="0.35">
      <c r="A134" s="455" t="s">
        <v>183</v>
      </c>
      <c r="B134" s="456"/>
      <c r="C134" s="466">
        <v>411756.94</v>
      </c>
      <c r="D134" s="456"/>
      <c r="E134" s="466">
        <v>7923.06</v>
      </c>
      <c r="F134" s="456"/>
      <c r="G134" s="456"/>
      <c r="H134" s="456">
        <v>2</v>
      </c>
      <c r="I134" s="460">
        <f t="shared" si="5"/>
        <v>419680</v>
      </c>
      <c r="J134" s="456"/>
      <c r="K134" s="460">
        <v>3154887.28</v>
      </c>
      <c r="L134" s="460"/>
      <c r="M134" s="460">
        <v>671135.8</v>
      </c>
      <c r="N134" s="461"/>
      <c r="O134" s="463">
        <f t="shared" si="6"/>
        <v>4245703.08</v>
      </c>
      <c r="P134" s="461"/>
      <c r="Q134" s="463"/>
      <c r="R134" s="463">
        <f t="shared" si="7"/>
        <v>4245703.08</v>
      </c>
      <c r="S134" s="463"/>
    </row>
    <row r="135" spans="1:19" ht="15.5" x14ac:dyDescent="0.35">
      <c r="A135" s="471" t="s">
        <v>184</v>
      </c>
      <c r="B135" s="456"/>
      <c r="C135" s="466">
        <v>0</v>
      </c>
      <c r="D135" s="456"/>
      <c r="E135" s="466">
        <v>0</v>
      </c>
      <c r="F135" s="456"/>
      <c r="G135" s="456"/>
      <c r="H135" s="473">
        <v>3</v>
      </c>
      <c r="I135" s="460">
        <f t="shared" ref="I135:I149" si="8">+C135+E135</f>
        <v>0</v>
      </c>
      <c r="J135" s="456"/>
      <c r="K135" s="466">
        <v>0</v>
      </c>
      <c r="L135" s="466"/>
      <c r="M135" s="460">
        <v>0</v>
      </c>
      <c r="N135" s="461"/>
      <c r="O135" s="463">
        <f t="shared" si="6"/>
        <v>0</v>
      </c>
      <c r="P135" s="461"/>
      <c r="Q135" s="463"/>
      <c r="R135" s="463">
        <f t="shared" si="7"/>
        <v>0</v>
      </c>
      <c r="S135" s="463"/>
    </row>
    <row r="136" spans="1:19" ht="15.5" x14ac:dyDescent="0.35">
      <c r="A136" s="471" t="s">
        <v>185</v>
      </c>
      <c r="B136" s="468"/>
      <c r="C136" s="466">
        <v>20900.29</v>
      </c>
      <c r="D136" s="468"/>
      <c r="E136" s="466">
        <v>0</v>
      </c>
      <c r="F136" s="468"/>
      <c r="G136" s="468"/>
      <c r="H136" s="468">
        <v>3</v>
      </c>
      <c r="I136" s="460">
        <f t="shared" si="8"/>
        <v>20900.29</v>
      </c>
      <c r="J136" s="468"/>
      <c r="K136" s="460">
        <v>262838.08</v>
      </c>
      <c r="L136" s="460"/>
      <c r="M136" s="460">
        <v>121894.03</v>
      </c>
      <c r="N136" s="461"/>
      <c r="O136" s="463">
        <f t="shared" si="6"/>
        <v>405632.39999999997</v>
      </c>
      <c r="P136" s="461"/>
      <c r="Q136" s="463"/>
      <c r="R136" s="463">
        <f t="shared" si="7"/>
        <v>405632.39999999997</v>
      </c>
      <c r="S136" s="463"/>
    </row>
    <row r="137" spans="1:19" ht="15.5" x14ac:dyDescent="0.35">
      <c r="A137" s="471" t="s">
        <v>186</v>
      </c>
      <c r="B137" s="468"/>
      <c r="C137" s="466">
        <v>106596.26</v>
      </c>
      <c r="D137" s="468"/>
      <c r="E137" s="466">
        <v>0</v>
      </c>
      <c r="F137" s="468"/>
      <c r="G137" s="468"/>
      <c r="H137" s="468">
        <v>3</v>
      </c>
      <c r="I137" s="460">
        <f t="shared" si="8"/>
        <v>106596.26</v>
      </c>
      <c r="J137" s="468"/>
      <c r="K137" s="466">
        <v>19240.75</v>
      </c>
      <c r="L137" s="466"/>
      <c r="M137" s="460">
        <v>112151.38</v>
      </c>
      <c r="N137" s="461"/>
      <c r="O137" s="463">
        <f t="shared" si="6"/>
        <v>237988.39</v>
      </c>
      <c r="P137" s="461"/>
      <c r="Q137" s="463"/>
      <c r="R137" s="463">
        <f t="shared" si="7"/>
        <v>237988.39</v>
      </c>
      <c r="S137" s="463"/>
    </row>
    <row r="138" spans="1:19" ht="15.5" x14ac:dyDescent="0.35">
      <c r="A138" s="471" t="s">
        <v>295</v>
      </c>
      <c r="B138" s="468"/>
      <c r="C138" s="466">
        <v>0</v>
      </c>
      <c r="D138" s="468"/>
      <c r="E138" s="466">
        <v>0</v>
      </c>
      <c r="F138" s="468"/>
      <c r="G138" s="468"/>
      <c r="H138" s="468">
        <v>3</v>
      </c>
      <c r="I138" s="460">
        <f t="shared" si="8"/>
        <v>0</v>
      </c>
      <c r="J138" s="468"/>
      <c r="K138" s="466">
        <v>0</v>
      </c>
      <c r="L138" s="466"/>
      <c r="M138" s="460">
        <v>0</v>
      </c>
      <c r="N138" s="461"/>
      <c r="O138" s="463">
        <f t="shared" si="6"/>
        <v>0</v>
      </c>
      <c r="P138" s="461"/>
      <c r="Q138" s="463"/>
      <c r="R138" s="463">
        <f t="shared" si="7"/>
        <v>0</v>
      </c>
      <c r="S138" s="463"/>
    </row>
    <row r="139" spans="1:19" ht="15.5" x14ac:dyDescent="0.35">
      <c r="A139" s="471" t="s">
        <v>296</v>
      </c>
      <c r="B139" s="468"/>
      <c r="C139" s="466">
        <v>0</v>
      </c>
      <c r="D139" s="468"/>
      <c r="E139" s="466">
        <v>0</v>
      </c>
      <c r="F139" s="468"/>
      <c r="G139" s="468"/>
      <c r="H139" s="468">
        <v>3</v>
      </c>
      <c r="I139" s="460">
        <f t="shared" si="8"/>
        <v>0</v>
      </c>
      <c r="J139" s="468"/>
      <c r="K139" s="466">
        <v>0</v>
      </c>
      <c r="L139" s="466"/>
      <c r="M139" s="460">
        <v>0</v>
      </c>
      <c r="N139" s="461"/>
      <c r="O139" s="463">
        <f t="shared" si="6"/>
        <v>0</v>
      </c>
      <c r="P139" s="461"/>
      <c r="Q139" s="463"/>
      <c r="R139" s="463">
        <f t="shared" si="7"/>
        <v>0</v>
      </c>
      <c r="S139" s="463"/>
    </row>
    <row r="140" spans="1:19" ht="15.5" x14ac:dyDescent="0.35">
      <c r="A140" s="471" t="s">
        <v>187</v>
      </c>
      <c r="B140" s="468"/>
      <c r="C140" s="466">
        <v>311449.25</v>
      </c>
      <c r="D140" s="468"/>
      <c r="E140" s="466">
        <v>0</v>
      </c>
      <c r="F140" s="468"/>
      <c r="G140" s="468"/>
      <c r="H140" s="468">
        <v>3</v>
      </c>
      <c r="I140" s="460">
        <f t="shared" si="8"/>
        <v>311449.25</v>
      </c>
      <c r="J140" s="468"/>
      <c r="K140" s="460">
        <v>178040</v>
      </c>
      <c r="L140" s="460"/>
      <c r="M140" s="460">
        <v>1825428.79</v>
      </c>
      <c r="N140" s="461"/>
      <c r="O140" s="463">
        <f t="shared" si="6"/>
        <v>2314918.04</v>
      </c>
      <c r="P140" s="461"/>
      <c r="Q140" s="463"/>
      <c r="R140" s="463">
        <f t="shared" si="7"/>
        <v>2314918.04</v>
      </c>
      <c r="S140" s="463"/>
    </row>
    <row r="141" spans="1:19" ht="15.5" x14ac:dyDescent="0.35">
      <c r="A141" s="455" t="s">
        <v>188</v>
      </c>
      <c r="B141" s="456"/>
      <c r="C141" s="466">
        <v>2177504.86</v>
      </c>
      <c r="D141" s="456"/>
      <c r="E141" s="466">
        <f>2698567.39+8951034.97</f>
        <v>11649602.360000001</v>
      </c>
      <c r="F141" s="456"/>
      <c r="G141" s="456"/>
      <c r="H141" s="456">
        <v>2</v>
      </c>
      <c r="I141" s="460">
        <f t="shared" si="8"/>
        <v>13827107.220000001</v>
      </c>
      <c r="J141" s="456"/>
      <c r="K141" s="460">
        <v>5449954.5099999998</v>
      </c>
      <c r="L141" s="460"/>
      <c r="M141" s="460">
        <v>2066276.67</v>
      </c>
      <c r="N141" s="461"/>
      <c r="O141" s="463">
        <f t="shared" si="6"/>
        <v>21343338.399999999</v>
      </c>
      <c r="P141" s="461"/>
      <c r="Q141" s="463"/>
      <c r="R141" s="463">
        <f t="shared" si="7"/>
        <v>21343338.399999999</v>
      </c>
      <c r="S141" s="463"/>
    </row>
    <row r="142" spans="1:19" ht="15.5" x14ac:dyDescent="0.35">
      <c r="A142" s="471" t="s">
        <v>189</v>
      </c>
      <c r="B142" s="468"/>
      <c r="C142" s="466">
        <v>44280</v>
      </c>
      <c r="D142" s="468"/>
      <c r="E142" s="466">
        <v>0</v>
      </c>
      <c r="F142" s="468"/>
      <c r="G142" s="468"/>
      <c r="H142" s="468">
        <v>3</v>
      </c>
      <c r="I142" s="460">
        <f t="shared" si="8"/>
        <v>44280</v>
      </c>
      <c r="J142" s="468"/>
      <c r="K142" s="460">
        <v>43100</v>
      </c>
      <c r="L142" s="460"/>
      <c r="M142" s="460">
        <v>67780</v>
      </c>
      <c r="N142" s="461"/>
      <c r="O142" s="463">
        <f t="shared" si="6"/>
        <v>155160</v>
      </c>
      <c r="P142" s="461"/>
      <c r="Q142" s="463"/>
      <c r="R142" s="463">
        <f t="shared" si="7"/>
        <v>155160</v>
      </c>
      <c r="S142" s="463"/>
    </row>
    <row r="143" spans="1:19" ht="15.5" x14ac:dyDescent="0.35">
      <c r="A143" s="471" t="s">
        <v>297</v>
      </c>
      <c r="B143" s="468"/>
      <c r="C143" s="466">
        <v>0</v>
      </c>
      <c r="D143" s="468"/>
      <c r="E143" s="466">
        <v>0</v>
      </c>
      <c r="F143" s="468"/>
      <c r="G143" s="468"/>
      <c r="H143" s="468">
        <v>3</v>
      </c>
      <c r="I143" s="460">
        <f t="shared" si="8"/>
        <v>0</v>
      </c>
      <c r="J143" s="468"/>
      <c r="K143" s="466">
        <v>0</v>
      </c>
      <c r="L143" s="466"/>
      <c r="M143" s="460">
        <v>0</v>
      </c>
      <c r="N143" s="461"/>
      <c r="O143" s="463">
        <f t="shared" si="6"/>
        <v>0</v>
      </c>
      <c r="P143" s="461"/>
      <c r="Q143" s="463"/>
      <c r="R143" s="463">
        <f t="shared" si="7"/>
        <v>0</v>
      </c>
      <c r="S143" s="463"/>
    </row>
    <row r="144" spans="1:19" ht="15.5" x14ac:dyDescent="0.35">
      <c r="A144" s="471" t="s">
        <v>190</v>
      </c>
      <c r="B144" s="468"/>
      <c r="C144" s="466">
        <v>161015.73000000001</v>
      </c>
      <c r="D144" s="468"/>
      <c r="E144" s="466">
        <v>0</v>
      </c>
      <c r="F144" s="468"/>
      <c r="G144" s="468"/>
      <c r="H144" s="468">
        <v>3</v>
      </c>
      <c r="I144" s="460">
        <f t="shared" si="8"/>
        <v>161015.73000000001</v>
      </c>
      <c r="J144" s="468"/>
      <c r="K144" s="460">
        <v>7362.22</v>
      </c>
      <c r="L144" s="460"/>
      <c r="M144" s="460">
        <v>85488.72</v>
      </c>
      <c r="N144" s="461"/>
      <c r="O144" s="463">
        <f t="shared" si="6"/>
        <v>253866.67</v>
      </c>
      <c r="P144" s="461"/>
      <c r="Q144" s="463"/>
      <c r="R144" s="463">
        <f t="shared" si="7"/>
        <v>253866.67</v>
      </c>
      <c r="S144" s="463"/>
    </row>
    <row r="145" spans="1:19" ht="15.5" x14ac:dyDescent="0.35">
      <c r="A145" s="471" t="s">
        <v>191</v>
      </c>
      <c r="B145" s="468"/>
      <c r="C145" s="466">
        <v>0</v>
      </c>
      <c r="D145" s="468"/>
      <c r="E145" s="466">
        <v>0</v>
      </c>
      <c r="F145" s="468"/>
      <c r="G145" s="468"/>
      <c r="H145" s="468">
        <v>3</v>
      </c>
      <c r="I145" s="460">
        <f t="shared" si="8"/>
        <v>0</v>
      </c>
      <c r="J145" s="468"/>
      <c r="K145" s="466">
        <v>0</v>
      </c>
      <c r="L145" s="466"/>
      <c r="M145" s="460">
        <v>13673.73</v>
      </c>
      <c r="N145" s="461"/>
      <c r="O145" s="463">
        <f t="shared" si="6"/>
        <v>13673.73</v>
      </c>
      <c r="P145" s="461"/>
      <c r="Q145" s="463"/>
      <c r="R145" s="463">
        <f t="shared" si="7"/>
        <v>13673.73</v>
      </c>
      <c r="S145" s="463"/>
    </row>
    <row r="146" spans="1:19" ht="15.5" x14ac:dyDescent="0.35">
      <c r="A146" s="471" t="s">
        <v>192</v>
      </c>
      <c r="B146" s="468"/>
      <c r="C146" s="466">
        <v>76555.28</v>
      </c>
      <c r="D146" s="468"/>
      <c r="E146" s="466">
        <v>0</v>
      </c>
      <c r="F146" s="468"/>
      <c r="G146" s="468"/>
      <c r="H146" s="468">
        <v>3</v>
      </c>
      <c r="I146" s="460">
        <f t="shared" si="8"/>
        <v>76555.28</v>
      </c>
      <c r="J146" s="468"/>
      <c r="K146" s="460">
        <v>347659.19</v>
      </c>
      <c r="L146" s="460"/>
      <c r="M146" s="460">
        <v>0</v>
      </c>
      <c r="N146" s="461"/>
      <c r="O146" s="463">
        <f t="shared" si="6"/>
        <v>424214.47</v>
      </c>
      <c r="P146" s="461"/>
      <c r="Q146" s="463"/>
      <c r="R146" s="463">
        <f t="shared" si="7"/>
        <v>424214.47</v>
      </c>
      <c r="S146" s="463"/>
    </row>
    <row r="147" spans="1:19" ht="15.5" x14ac:dyDescent="0.35">
      <c r="A147" s="471" t="s">
        <v>193</v>
      </c>
      <c r="B147" s="468"/>
      <c r="C147" s="466">
        <v>0</v>
      </c>
      <c r="D147" s="468"/>
      <c r="E147" s="466">
        <v>0</v>
      </c>
      <c r="F147" s="468"/>
      <c r="G147" s="468"/>
      <c r="H147" s="468">
        <v>3</v>
      </c>
      <c r="I147" s="460">
        <f t="shared" si="8"/>
        <v>0</v>
      </c>
      <c r="J147" s="468"/>
      <c r="K147" s="460">
        <v>81806</v>
      </c>
      <c r="L147" s="460"/>
      <c r="M147" s="460">
        <v>0</v>
      </c>
      <c r="N147" s="461"/>
      <c r="O147" s="463">
        <f t="shared" si="6"/>
        <v>81806</v>
      </c>
      <c r="P147" s="461"/>
      <c r="Q147" s="463"/>
      <c r="R147" s="463">
        <f t="shared" si="7"/>
        <v>81806</v>
      </c>
      <c r="S147" s="463"/>
    </row>
    <row r="148" spans="1:19" ht="15.5" x14ac:dyDescent="0.35">
      <c r="A148" s="471" t="s">
        <v>298</v>
      </c>
      <c r="B148" s="468"/>
      <c r="C148" s="466">
        <v>0</v>
      </c>
      <c r="D148" s="468"/>
      <c r="E148" s="466">
        <v>0</v>
      </c>
      <c r="F148" s="468"/>
      <c r="G148" s="468"/>
      <c r="H148" s="468">
        <v>3</v>
      </c>
      <c r="I148" s="460">
        <f t="shared" si="8"/>
        <v>0</v>
      </c>
      <c r="J148" s="468"/>
      <c r="K148" s="474">
        <v>0</v>
      </c>
      <c r="L148" s="474"/>
      <c r="M148" s="460">
        <v>0</v>
      </c>
      <c r="N148" s="461"/>
      <c r="O148" s="463">
        <f t="shared" si="6"/>
        <v>0</v>
      </c>
      <c r="P148" s="461"/>
      <c r="Q148" s="463"/>
      <c r="R148" s="463">
        <f t="shared" si="7"/>
        <v>0</v>
      </c>
      <c r="S148" s="463"/>
    </row>
    <row r="149" spans="1:19" ht="16" thickBot="1" x14ac:dyDescent="0.4">
      <c r="A149" s="464" t="s">
        <v>299</v>
      </c>
      <c r="B149" s="465"/>
      <c r="C149" s="466">
        <v>693925.4</v>
      </c>
      <c r="D149" s="465"/>
      <c r="E149" s="466">
        <v>44542.400000000001</v>
      </c>
      <c r="F149" s="465"/>
      <c r="G149" s="465"/>
      <c r="H149" s="465">
        <v>1</v>
      </c>
      <c r="I149" s="460">
        <f t="shared" si="8"/>
        <v>738467.8</v>
      </c>
      <c r="J149" s="465"/>
      <c r="K149" s="466">
        <v>634154.03</v>
      </c>
      <c r="L149" s="466"/>
      <c r="M149" s="460">
        <v>3807537.53</v>
      </c>
      <c r="N149" s="461"/>
      <c r="O149" s="463">
        <f t="shared" si="6"/>
        <v>5180159.3599999994</v>
      </c>
      <c r="P149" s="461"/>
      <c r="Q149" s="463"/>
      <c r="R149" s="463">
        <f t="shared" si="7"/>
        <v>5180159.3599999994</v>
      </c>
      <c r="S149" s="463"/>
    </row>
    <row r="150" spans="1:19" s="221" customFormat="1" ht="25.9" customHeight="1" thickBot="1" x14ac:dyDescent="0.35">
      <c r="A150" s="436" t="s">
        <v>0</v>
      </c>
      <c r="B150" s="475"/>
      <c r="C150" s="475">
        <f>SUM(C3:C149)</f>
        <v>244436310.79999998</v>
      </c>
      <c r="D150" s="475"/>
      <c r="E150" s="475">
        <f>SUM(E3:E149)</f>
        <v>152121926.20000005</v>
      </c>
      <c r="F150" s="475"/>
      <c r="G150" s="475"/>
      <c r="H150" s="475"/>
      <c r="I150" s="475">
        <f>SUM(I3:I149)</f>
        <v>396558237</v>
      </c>
      <c r="J150" s="475"/>
      <c r="K150" s="475">
        <f>SUM(K3:K149)</f>
        <v>53976024.529999994</v>
      </c>
      <c r="L150" s="475"/>
      <c r="M150" s="475">
        <f>SUM(M3:M149)</f>
        <v>191258853.90999997</v>
      </c>
      <c r="N150" s="476"/>
      <c r="O150" s="477">
        <f>SUM(O3:O149)</f>
        <v>641793115.44000018</v>
      </c>
      <c r="P150" s="476"/>
      <c r="Q150" s="477">
        <f>SUM(Q3:Q149)</f>
        <v>955351.78999999911</v>
      </c>
      <c r="R150" s="477">
        <f>SUM(R3:R149)</f>
        <v>641793115.44000018</v>
      </c>
      <c r="S150" s="478"/>
    </row>
    <row r="151" spans="1:19" ht="15.5" x14ac:dyDescent="0.35">
      <c r="A151" s="455"/>
      <c r="B151" s="456"/>
      <c r="C151" s="456"/>
      <c r="D151" s="456"/>
      <c r="E151" s="474"/>
      <c r="F151" s="456"/>
      <c r="G151" s="456"/>
      <c r="H151" s="456"/>
      <c r="I151" s="456"/>
      <c r="J151" s="456"/>
      <c r="K151" s="474"/>
      <c r="L151" s="474"/>
      <c r="M151" s="479"/>
      <c r="N151" s="480"/>
      <c r="O151" s="481"/>
      <c r="P151" s="480"/>
      <c r="Q151" s="481"/>
      <c r="R151" s="481"/>
      <c r="S151" s="479"/>
    </row>
    <row r="152" spans="1:19" ht="15.5" x14ac:dyDescent="0.35">
      <c r="A152" s="455"/>
      <c r="B152" s="456"/>
      <c r="C152" s="456"/>
      <c r="D152" s="456"/>
      <c r="E152" s="458"/>
      <c r="F152" s="456"/>
      <c r="G152" s="456"/>
      <c r="H152" s="456"/>
      <c r="I152" s="456"/>
      <c r="J152" s="456"/>
      <c r="K152" s="474"/>
      <c r="L152" s="474"/>
      <c r="M152" s="460"/>
      <c r="N152" s="461"/>
      <c r="O152" s="481"/>
      <c r="P152" s="461"/>
      <c r="Q152" s="481"/>
      <c r="R152" s="481"/>
      <c r="S152" s="463"/>
    </row>
    <row r="153" spans="1:19" ht="15.5" x14ac:dyDescent="0.35">
      <c r="A153" s="464" t="s">
        <v>194</v>
      </c>
      <c r="B153" s="456"/>
      <c r="C153" s="482">
        <f>SUMIF($H$1:$H$149,"1",C$1:C$149)-C156</f>
        <v>112978852.19999999</v>
      </c>
      <c r="D153" s="338">
        <f>+C153/C$158</f>
        <v>0.46220159284125467</v>
      </c>
      <c r="E153" s="482">
        <f>SUMIF($H$1:$H$149,"1",E$1:E$149)-E156</f>
        <v>41189448.180000022</v>
      </c>
      <c r="F153" s="456"/>
      <c r="G153" s="338">
        <f>+E153/E$158</f>
        <v>0.2707660178181468</v>
      </c>
      <c r="H153" s="456"/>
      <c r="I153" s="482">
        <f>SUMIF($H$1:$H$149,"1",I$1:I$149)-I156</f>
        <v>114786287.30999994</v>
      </c>
      <c r="J153" s="338">
        <f>+I153/$I$158</f>
        <v>0.28945631839189345</v>
      </c>
      <c r="K153" s="466">
        <f>SUMIF($H$1:$H$149,"1",K$1:K$149)-K156</f>
        <v>15703706.990000002</v>
      </c>
      <c r="L153" s="338">
        <f>+K153/K$158</f>
        <v>0.29093856256997669</v>
      </c>
      <c r="M153" s="482">
        <f>SUMIF($H$1:$H$149,"1",M$1:M$149)-M156</f>
        <v>49618186.999999985</v>
      </c>
      <c r="N153" s="338">
        <f>+M153/M$158</f>
        <v>0.25942949037720697</v>
      </c>
      <c r="O153" s="481">
        <f>SUMIF($H$1:$H$149,"1",O$1:O$149)-O156</f>
        <v>180108181.29999995</v>
      </c>
      <c r="P153" s="483">
        <f>+O153/O$158</f>
        <v>0.28063277241065687</v>
      </c>
      <c r="Q153" s="481">
        <f>SUMIF($H$1:$H$149,"1",Q$1:Q$149)-Q156</f>
        <v>1007864.2899999991</v>
      </c>
      <c r="R153" s="481">
        <f>SUMIF($H$1:$H$149,"1",R$1:R$149)-R156</f>
        <v>180108181.29999995</v>
      </c>
      <c r="S153" s="338">
        <f>+R153/R$158</f>
        <v>0.28063277241065687</v>
      </c>
    </row>
    <row r="154" spans="1:19" ht="15.5" x14ac:dyDescent="0.35">
      <c r="A154" s="455" t="s">
        <v>195</v>
      </c>
      <c r="B154" s="456"/>
      <c r="C154" s="482">
        <f>SUMIF($H$1:$H$149,"2",C$1:C$149)</f>
        <v>7801775.379999999</v>
      </c>
      <c r="D154" s="338">
        <f>+C154/C$158</f>
        <v>3.1917415847367625E-2</v>
      </c>
      <c r="E154" s="482">
        <f>SUMIF($H$1:$H$149,"2",E$1:E$149)</f>
        <v>11657525.420000002</v>
      </c>
      <c r="F154" s="456"/>
      <c r="G154" s="338">
        <f>+E154/E$158</f>
        <v>7.6632775505836304E-2</v>
      </c>
      <c r="H154" s="456"/>
      <c r="I154" s="482">
        <f>SUMIF($H$1:$H$149,"2",I$1:I$149)</f>
        <v>19459300.800000001</v>
      </c>
      <c r="J154" s="338">
        <f>+I154/$I$158</f>
        <v>4.9070474357591015E-2</v>
      </c>
      <c r="K154" s="466">
        <f>SUMIF($H$1:$H$149,"2",K$1:K$149)</f>
        <v>13976023.399999999</v>
      </c>
      <c r="L154" s="338">
        <f t="shared" ref="L154:N156" si="9">+K154/K$158</f>
        <v>0.25893021062031146</v>
      </c>
      <c r="M154" s="482">
        <f>SUMIF($H$1:$H$149,"2",M$1:M$149)</f>
        <v>21138838.479999997</v>
      </c>
      <c r="N154" s="338">
        <f t="shared" si="9"/>
        <v>0.11052475766662924</v>
      </c>
      <c r="O154" s="481">
        <f>SUMIF($H$1:$H$149,"2",O$1:O$149)</f>
        <v>54574162.68</v>
      </c>
      <c r="P154" s="483">
        <f>+O154/O$158</f>
        <v>8.5033886102977407E-2</v>
      </c>
      <c r="Q154" s="481">
        <f>SUMIF($H$1:$H$149,"2",Q$1:Q$149)</f>
        <v>0</v>
      </c>
      <c r="R154" s="481">
        <f>SUMIF($H$1:$H$149,"2",R$1:R$149)</f>
        <v>54574162.68</v>
      </c>
      <c r="S154" s="338">
        <f>+R154/R$158</f>
        <v>8.5033886102977407E-2</v>
      </c>
    </row>
    <row r="155" spans="1:19" ht="15.5" x14ac:dyDescent="0.35">
      <c r="A155" s="471" t="s">
        <v>84</v>
      </c>
      <c r="B155" s="456"/>
      <c r="C155" s="482">
        <f>SUMIF($H$1:$H$149,"3",C$1:C$149)</f>
        <v>9601118.040000001</v>
      </c>
      <c r="D155" s="338">
        <f>+C155/C$158</f>
        <v>3.9278608029130836E-2</v>
      </c>
      <c r="E155" s="482">
        <f>SUMIF($H$1:$H$149,"3",E$1:E$149)</f>
        <v>4859915</v>
      </c>
      <c r="F155" s="456"/>
      <c r="G155" s="338">
        <f>+E155/E$158</f>
        <v>3.1947498440234701E-2</v>
      </c>
      <c r="H155" s="456"/>
      <c r="I155" s="482">
        <f>SUMIF($H$1:$H$149,"3",I$1:I$149)</f>
        <v>14461033.040000003</v>
      </c>
      <c r="J155" s="338">
        <f>+I155/$I$158</f>
        <v>3.6466353969593635E-2</v>
      </c>
      <c r="K155" s="466">
        <f>SUMIF($H$1:$H$149,"3",K$1:K$149)</f>
        <v>19337597.23</v>
      </c>
      <c r="L155" s="338">
        <f t="shared" si="9"/>
        <v>0.35826271753771194</v>
      </c>
      <c r="M155" s="482">
        <f>SUMIF($H$1:$H$149,"3",M$1:M$149)</f>
        <v>51751344.480000012</v>
      </c>
      <c r="N155" s="338">
        <f t="shared" si="9"/>
        <v>0.2705827386393963</v>
      </c>
      <c r="O155" s="481">
        <f>SUMIF($H$1:$H$149,"3",O$1:O$149)</f>
        <v>85549974.75</v>
      </c>
      <c r="P155" s="483">
        <f>+O155/O$158</f>
        <v>0.13329836779465717</v>
      </c>
      <c r="Q155" s="481">
        <f>SUMIF($H$1:$H$149,"3",Q$1:Q$149)</f>
        <v>0</v>
      </c>
      <c r="R155" s="481">
        <f>SUMIF($H$1:$H$149,"3",R$1:R$149)</f>
        <v>85549974.75</v>
      </c>
      <c r="S155" s="338">
        <f>+R155/R$158</f>
        <v>0.13329836779465717</v>
      </c>
    </row>
    <row r="156" spans="1:19" ht="15.5" x14ac:dyDescent="0.35">
      <c r="A156" s="455" t="s">
        <v>124</v>
      </c>
      <c r="B156" s="456"/>
      <c r="C156" s="482">
        <f>+C45-C161</f>
        <v>114054565.18000001</v>
      </c>
      <c r="D156" s="338">
        <f>+C156/C$158</f>
        <v>0.46660238328224679</v>
      </c>
      <c r="E156" s="482">
        <f>+E45</f>
        <v>94415037.600000009</v>
      </c>
      <c r="F156" s="456"/>
      <c r="G156" s="338">
        <f>+E156/E$158</f>
        <v>0.62065370823578214</v>
      </c>
      <c r="H156" s="456"/>
      <c r="I156" s="482">
        <f>+I45</f>
        <v>247851615.85000002</v>
      </c>
      <c r="J156" s="338">
        <f>+I156/$I$158</f>
        <v>0.62500685328092187</v>
      </c>
      <c r="K156" s="466">
        <f>+K45</f>
        <v>4958696.91</v>
      </c>
      <c r="L156" s="338">
        <f t="shared" si="9"/>
        <v>9.1868509271999924E-2</v>
      </c>
      <c r="M156" s="482">
        <f>+M45</f>
        <v>68750483.950000003</v>
      </c>
      <c r="N156" s="338">
        <f t="shared" si="9"/>
        <v>0.35946301331676739</v>
      </c>
      <c r="O156" s="481">
        <f>+O45</f>
        <v>321560796.71000004</v>
      </c>
      <c r="P156" s="483">
        <f>+O156/O$158</f>
        <v>0.50103497369170846</v>
      </c>
      <c r="Q156" s="481">
        <f>+Q45</f>
        <v>-52512.5</v>
      </c>
      <c r="R156" s="481">
        <f>+R45</f>
        <v>321560796.71000004</v>
      </c>
      <c r="S156" s="338">
        <f>+R156/R$158</f>
        <v>0.50103497369170846</v>
      </c>
    </row>
    <row r="157" spans="1:19" ht="16" thickBot="1" x14ac:dyDescent="0.4">
      <c r="A157" s="455"/>
      <c r="B157" s="484"/>
      <c r="C157" s="484"/>
      <c r="D157" s="484"/>
      <c r="E157" s="485"/>
      <c r="F157" s="484"/>
      <c r="G157" s="445"/>
      <c r="H157" s="484"/>
      <c r="I157" s="445"/>
      <c r="J157" s="445"/>
      <c r="K157" s="485"/>
      <c r="L157" s="445"/>
      <c r="M157" s="486"/>
      <c r="N157" s="487"/>
      <c r="O157" s="488"/>
      <c r="P157" s="489"/>
      <c r="Q157" s="488"/>
      <c r="R157" s="488"/>
      <c r="S157" s="487"/>
    </row>
    <row r="158" spans="1:19" ht="30" customHeight="1" thickBot="1" x14ac:dyDescent="0.35">
      <c r="A158" s="436" t="s">
        <v>0</v>
      </c>
      <c r="B158" s="490"/>
      <c r="C158" s="491">
        <f>SUM(C153:C157)</f>
        <v>244436310.80000001</v>
      </c>
      <c r="D158" s="344">
        <f>+C158/C158</f>
        <v>1</v>
      </c>
      <c r="E158" s="491">
        <f>SUM(E153:E157)</f>
        <v>152121926.20000005</v>
      </c>
      <c r="F158" s="490"/>
      <c r="G158" s="344">
        <f>+E158/E158</f>
        <v>1</v>
      </c>
      <c r="H158" s="490"/>
      <c r="I158" s="491">
        <f>SUM(I153:I157)</f>
        <v>396558237</v>
      </c>
      <c r="J158" s="344">
        <f>+I158/I158</f>
        <v>1</v>
      </c>
      <c r="K158" s="491">
        <f>SUM(K153:K157)</f>
        <v>53976024.530000001</v>
      </c>
      <c r="L158" s="344">
        <f>+K158/K158</f>
        <v>1</v>
      </c>
      <c r="M158" s="491">
        <f>SUM(M153:M157)</f>
        <v>191258853.91000003</v>
      </c>
      <c r="N158" s="344">
        <f>+M158/M158</f>
        <v>1</v>
      </c>
      <c r="O158" s="492">
        <f>SUM(O153:O157)</f>
        <v>641793115.44000006</v>
      </c>
      <c r="P158" s="493">
        <f>+O158/O158</f>
        <v>1</v>
      </c>
      <c r="Q158" s="492">
        <f>SUM(Q153:Q157)</f>
        <v>955351.78999999911</v>
      </c>
      <c r="R158" s="492">
        <f>SUM(R153:R157)</f>
        <v>641793115.44000006</v>
      </c>
      <c r="S158" s="344">
        <f>+R158/R158</f>
        <v>1</v>
      </c>
    </row>
    <row r="159" spans="1:19" ht="15.5" x14ac:dyDescent="0.35">
      <c r="A159" s="1"/>
      <c r="B159" s="434"/>
      <c r="C159" s="434"/>
      <c r="D159" s="434"/>
      <c r="E159" s="1"/>
      <c r="F159" s="434"/>
      <c r="G159" s="434"/>
      <c r="H159" s="434"/>
      <c r="I159" s="434"/>
      <c r="J159" s="434"/>
      <c r="K159" s="494"/>
      <c r="L159" s="494"/>
      <c r="M159" s="329"/>
      <c r="N159" s="143"/>
      <c r="O159" s="147"/>
      <c r="P159" s="143"/>
      <c r="Q159" s="147"/>
      <c r="R159" s="147"/>
      <c r="S159" s="143"/>
    </row>
    <row r="160" spans="1:19" ht="15.5" x14ac:dyDescent="0.35">
      <c r="A160" s="495"/>
      <c r="B160" s="424"/>
      <c r="C160" s="349"/>
      <c r="D160" s="424"/>
      <c r="E160" s="148"/>
      <c r="F160" s="424"/>
      <c r="G160" s="424"/>
      <c r="H160" s="424"/>
      <c r="I160" s="424"/>
      <c r="J160" s="424"/>
      <c r="K160" s="435"/>
      <c r="L160" s="435"/>
      <c r="M160" s="328"/>
      <c r="N160" s="328"/>
      <c r="O160" s="148"/>
      <c r="P160" s="327"/>
      <c r="Q160" s="350"/>
      <c r="R160" s="147"/>
      <c r="S160" s="147"/>
    </row>
    <row r="161" spans="1:19" ht="15.5" x14ac:dyDescent="0.35">
      <c r="A161" s="416" t="s">
        <v>534</v>
      </c>
      <c r="B161" s="417"/>
      <c r="C161" s="418">
        <f>37614075.07-4500000+6267938</f>
        <v>39382013.07</v>
      </c>
      <c r="D161" s="419"/>
      <c r="E161" s="418">
        <v>0</v>
      </c>
      <c r="F161" s="417"/>
      <c r="G161" s="419"/>
      <c r="H161" s="417"/>
      <c r="I161" s="418">
        <f>+C161+E161</f>
        <v>39382013.07</v>
      </c>
      <c r="J161" s="419"/>
      <c r="K161" s="418"/>
      <c r="L161" s="419"/>
      <c r="M161" s="418">
        <v>65339.65</v>
      </c>
      <c r="N161" s="419"/>
      <c r="O161" s="418">
        <f>+I161+K161+M161</f>
        <v>39447352.719999999</v>
      </c>
      <c r="P161" s="420"/>
      <c r="Q161" s="421">
        <f>7829242.36-1561304.36</f>
        <v>6267938</v>
      </c>
      <c r="R161" s="418">
        <f>+O161+Q161-Q161</f>
        <v>39447352.719999999</v>
      </c>
      <c r="S161" s="422"/>
    </row>
    <row r="162" spans="1:19" ht="16" thickBot="1" x14ac:dyDescent="0.4">
      <c r="A162" s="427" t="s">
        <v>536</v>
      </c>
      <c r="B162" s="428"/>
      <c r="C162" s="429"/>
      <c r="D162" s="430"/>
      <c r="E162" s="429"/>
      <c r="F162" s="428"/>
      <c r="G162" s="430"/>
      <c r="H162" s="428"/>
      <c r="I162" s="429"/>
      <c r="J162" s="430"/>
      <c r="K162" s="429">
        <v>228665.89</v>
      </c>
      <c r="L162" s="430"/>
      <c r="M162" s="429"/>
      <c r="N162" s="430"/>
      <c r="O162" s="429">
        <f>+I162+K162+M162</f>
        <v>228665.89</v>
      </c>
      <c r="P162" s="431"/>
      <c r="Q162" s="432"/>
      <c r="R162" s="429">
        <f>+O162+Q162</f>
        <v>228665.89</v>
      </c>
      <c r="S162" s="433"/>
    </row>
    <row r="163" spans="1:19" ht="16" thickTop="1" x14ac:dyDescent="0.35">
      <c r="A163" s="423" t="s">
        <v>537</v>
      </c>
      <c r="B163" s="424"/>
      <c r="C163" s="425">
        <f>SUM(C161:C162)</f>
        <v>39382013.07</v>
      </c>
      <c r="D163" s="426"/>
      <c r="E163" s="425">
        <f>SUM(E161:E162)</f>
        <v>0</v>
      </c>
      <c r="F163" s="424"/>
      <c r="G163" s="426"/>
      <c r="H163" s="424"/>
      <c r="I163" s="425">
        <f>SUM(I161:I162)</f>
        <v>39382013.07</v>
      </c>
      <c r="J163" s="426"/>
      <c r="K163" s="425">
        <f>SUM(K161:K162)</f>
        <v>228665.89</v>
      </c>
      <c r="L163" s="426"/>
      <c r="M163" s="425">
        <f>SUM(M161:M162)</f>
        <v>65339.65</v>
      </c>
      <c r="N163" s="426"/>
      <c r="O163" s="425">
        <f>+O161+O162</f>
        <v>39676018.609999999</v>
      </c>
      <c r="P163" s="426"/>
      <c r="Q163" s="425">
        <f>+Q161+Q162</f>
        <v>6267938</v>
      </c>
      <c r="R163" s="425">
        <f>+R161+R162</f>
        <v>39676018.609999999</v>
      </c>
      <c r="S163" s="327"/>
    </row>
    <row r="164" spans="1:19" ht="16" thickBot="1" x14ac:dyDescent="0.4">
      <c r="A164" s="147"/>
      <c r="B164" s="434"/>
      <c r="C164" s="434"/>
      <c r="D164" s="434"/>
      <c r="E164" s="348"/>
      <c r="F164" s="434"/>
      <c r="G164" s="434"/>
      <c r="H164" s="434"/>
      <c r="I164" s="424"/>
      <c r="J164" s="424"/>
      <c r="K164" s="435"/>
      <c r="L164" s="435"/>
      <c r="M164" s="328"/>
      <c r="N164" s="328"/>
      <c r="O164" s="328"/>
      <c r="P164" s="147"/>
      <c r="Q164" s="147"/>
      <c r="R164" s="147"/>
      <c r="S164" s="147"/>
    </row>
    <row r="165" spans="1:19" ht="16" thickBot="1" x14ac:dyDescent="0.4">
      <c r="A165" s="436" t="s">
        <v>538</v>
      </c>
      <c r="B165" s="437"/>
      <c r="C165" s="438">
        <f>+C163+C158</f>
        <v>283818323.87</v>
      </c>
      <c r="D165" s="439"/>
      <c r="E165" s="438">
        <f>+E163+E158</f>
        <v>152121926.20000005</v>
      </c>
      <c r="F165" s="437"/>
      <c r="G165" s="439"/>
      <c r="H165" s="437"/>
      <c r="I165" s="438">
        <f>+I163+I158</f>
        <v>435940250.06999999</v>
      </c>
      <c r="J165" s="439"/>
      <c r="K165" s="438">
        <f>+K163+K158</f>
        <v>54204690.420000002</v>
      </c>
      <c r="L165" s="439"/>
      <c r="M165" s="438">
        <f>+M163+M158</f>
        <v>191324193.56000003</v>
      </c>
      <c r="N165" s="439"/>
      <c r="O165" s="438">
        <f>+O163+O158</f>
        <v>681469134.05000007</v>
      </c>
      <c r="P165" s="440"/>
      <c r="Q165" s="438">
        <f>+Q163+Q158</f>
        <v>7223289.7899999991</v>
      </c>
      <c r="R165" s="438">
        <f>+R163+R158</f>
        <v>681469134.05000007</v>
      </c>
      <c r="S165" s="351"/>
    </row>
    <row r="166" spans="1:19" x14ac:dyDescent="0.25">
      <c r="E166" s="226"/>
      <c r="F166" s="227"/>
      <c r="G166" s="228"/>
      <c r="H166" s="232"/>
      <c r="I166" s="232"/>
      <c r="J166" s="232"/>
    </row>
    <row r="167" spans="1:19" x14ac:dyDescent="0.25">
      <c r="E167" s="226"/>
      <c r="G167" s="228"/>
    </row>
  </sheetData>
  <printOptions horizontalCentered="1"/>
  <pageMargins left="0.19685039370078741" right="0.19685039370078741" top="0.19685039370078741" bottom="0.19685039370078741" header="0" footer="0"/>
  <pageSetup paperSize="8" scale="57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15"/>
  <sheetViews>
    <sheetView workbookViewId="0"/>
  </sheetViews>
  <sheetFormatPr baseColWidth="10" defaultColWidth="11" defaultRowHeight="13" x14ac:dyDescent="0.3"/>
  <cols>
    <col min="1" max="1" width="2.75" style="42" bestFit="1" customWidth="1"/>
    <col min="2" max="2" width="32.08203125" style="6" customWidth="1"/>
    <col min="3" max="3" width="10.25" style="4" customWidth="1"/>
    <col min="4" max="4" width="10.58203125" style="4" customWidth="1"/>
    <col min="5" max="5" width="13.33203125" style="5" customWidth="1"/>
    <col min="6" max="7" width="10.25" style="4" customWidth="1"/>
    <col min="8" max="8" width="10.25" style="5" customWidth="1"/>
    <col min="9" max="9" width="12.25" style="4" bestFit="1" customWidth="1"/>
    <col min="10" max="10" width="11.83203125" style="4" bestFit="1" customWidth="1"/>
    <col min="11" max="11" width="11.25" style="5" bestFit="1" customWidth="1"/>
    <col min="12" max="12" width="9.83203125" style="6" customWidth="1"/>
    <col min="13" max="13" width="19.83203125" style="6" customWidth="1"/>
    <col min="14" max="14" width="16.33203125" style="6" customWidth="1"/>
    <col min="15" max="15" width="7.75" style="6" customWidth="1"/>
    <col min="16" max="16" width="8.5" style="6" customWidth="1"/>
    <col min="17" max="17" width="7.08203125" style="6" customWidth="1"/>
    <col min="18" max="16384" width="11" style="6"/>
  </cols>
  <sheetData>
    <row r="1" spans="2:12" s="6" customFormat="1" ht="18" x14ac:dyDescent="0.4">
      <c r="B1" s="2" t="s">
        <v>25</v>
      </c>
      <c r="C1" s="3">
        <v>42339</v>
      </c>
      <c r="D1" s="3">
        <v>42705</v>
      </c>
      <c r="E1" s="3" t="s">
        <v>26</v>
      </c>
      <c r="F1" s="4"/>
      <c r="G1" s="4"/>
      <c r="H1" s="5"/>
      <c r="I1" s="4"/>
      <c r="J1" s="4"/>
      <c r="K1" s="5"/>
    </row>
    <row r="2" spans="2:12" s="6" customFormat="1" ht="13.5" thickBot="1" x14ac:dyDescent="0.35">
      <c r="C2" s="4"/>
      <c r="D2" s="4"/>
      <c r="E2" s="5"/>
      <c r="F2" s="4"/>
      <c r="G2" s="4"/>
      <c r="H2" s="5"/>
      <c r="I2" s="4"/>
      <c r="J2" s="4"/>
      <c r="K2" s="5"/>
    </row>
    <row r="3" spans="2:12" s="6" customFormat="1" ht="13.5" customHeight="1" x14ac:dyDescent="0.3">
      <c r="B3" s="962" t="s">
        <v>27</v>
      </c>
      <c r="C3" s="963"/>
      <c r="D3" s="963"/>
      <c r="E3" s="963"/>
      <c r="F3" s="963"/>
      <c r="G3" s="963"/>
      <c r="H3" s="963"/>
      <c r="I3" s="963"/>
      <c r="J3" s="963"/>
      <c r="K3" s="964"/>
    </row>
    <row r="4" spans="2:12" s="6" customFormat="1" ht="13.5" customHeight="1" x14ac:dyDescent="0.3">
      <c r="B4" s="965"/>
      <c r="C4" s="966"/>
      <c r="D4" s="966"/>
      <c r="E4" s="966"/>
      <c r="F4" s="966"/>
      <c r="G4" s="966"/>
      <c r="H4" s="966"/>
      <c r="I4" s="966"/>
      <c r="J4" s="966"/>
      <c r="K4" s="967"/>
    </row>
    <row r="5" spans="2:12" s="6" customFormat="1" ht="13.5" customHeight="1" x14ac:dyDescent="0.3">
      <c r="B5" s="968" t="s">
        <v>28</v>
      </c>
      <c r="C5" s="970" t="s">
        <v>29</v>
      </c>
      <c r="D5" s="971"/>
      <c r="E5" s="972"/>
      <c r="F5" s="970" t="s">
        <v>30</v>
      </c>
      <c r="G5" s="971"/>
      <c r="H5" s="972"/>
      <c r="I5" s="970" t="s">
        <v>31</v>
      </c>
      <c r="J5" s="971"/>
      <c r="K5" s="973"/>
    </row>
    <row r="6" spans="2:12" s="6" customFormat="1" ht="13.5" customHeight="1" x14ac:dyDescent="0.3">
      <c r="B6" s="982"/>
      <c r="C6" s="13">
        <f>+$C$1</f>
        <v>42339</v>
      </c>
      <c r="D6" s="14">
        <f>+$D$1</f>
        <v>42705</v>
      </c>
      <c r="E6" s="15" t="str">
        <f>+$E$1</f>
        <v>2016 / 2015</v>
      </c>
      <c r="F6" s="13">
        <f>+$C$1</f>
        <v>42339</v>
      </c>
      <c r="G6" s="14">
        <f>+$D$1</f>
        <v>42705</v>
      </c>
      <c r="H6" s="15" t="str">
        <f>+$E$1</f>
        <v>2016 / 2015</v>
      </c>
      <c r="I6" s="13">
        <f>+$C$1</f>
        <v>42339</v>
      </c>
      <c r="J6" s="14">
        <f>+$D$1</f>
        <v>42705</v>
      </c>
      <c r="K6" s="15" t="str">
        <f>+$E$1</f>
        <v>2016 / 2015</v>
      </c>
    </row>
    <row r="7" spans="2:12" s="6" customFormat="1" ht="13.5" thickBot="1" x14ac:dyDescent="0.35">
      <c r="B7" s="16"/>
      <c r="C7" s="17"/>
      <c r="D7" s="17"/>
      <c r="E7" s="18"/>
      <c r="F7" s="17"/>
      <c r="G7" s="17"/>
      <c r="H7" s="18"/>
      <c r="I7" s="17"/>
      <c r="J7" s="17"/>
      <c r="K7" s="19"/>
    </row>
    <row r="8" spans="2:12" s="6" customFormat="1" x14ac:dyDescent="0.3">
      <c r="B8" s="20" t="s">
        <v>32</v>
      </c>
      <c r="C8" s="21">
        <v>1111926</v>
      </c>
      <c r="D8" s="22">
        <v>1053706</v>
      </c>
      <c r="E8" s="23">
        <v>-5.2359599469748885E-2</v>
      </c>
      <c r="F8" s="21">
        <v>55.85</v>
      </c>
      <c r="G8" s="22">
        <v>45.87</v>
      </c>
      <c r="H8" s="23">
        <v>-0.1786929274843331</v>
      </c>
      <c r="I8" s="21">
        <v>62101067.100000001</v>
      </c>
      <c r="J8" s="22">
        <v>48333494.219999999</v>
      </c>
      <c r="K8" s="23">
        <v>-0.22169623684292539</v>
      </c>
      <c r="L8" s="24"/>
    </row>
    <row r="9" spans="2:12" s="6" customFormat="1" x14ac:dyDescent="0.3">
      <c r="B9" s="25" t="s">
        <v>33</v>
      </c>
      <c r="C9" s="26">
        <v>10517.739000000001</v>
      </c>
      <c r="D9" s="27">
        <v>68184.983200000002</v>
      </c>
      <c r="E9" s="28">
        <v>5.4828556023305</v>
      </c>
      <c r="F9" s="26">
        <v>125.02</v>
      </c>
      <c r="G9" s="27">
        <v>83.39</v>
      </c>
      <c r="H9" s="28">
        <v>-0.33298672212446007</v>
      </c>
      <c r="I9" s="26">
        <v>1314927.7297800002</v>
      </c>
      <c r="J9" s="27">
        <v>5685945.7490480002</v>
      </c>
      <c r="K9" s="28">
        <v>3.324150765304275</v>
      </c>
      <c r="L9" s="24"/>
    </row>
    <row r="10" spans="2:12" s="6" customFormat="1" x14ac:dyDescent="0.3">
      <c r="B10" s="25" t="s">
        <v>87</v>
      </c>
      <c r="C10" s="26">
        <v>1122443.7390000001</v>
      </c>
      <c r="D10" s="27">
        <v>1121890.9831999999</v>
      </c>
      <c r="E10" s="28">
        <v>-4.9245746650305739E-4</v>
      </c>
      <c r="F10" s="26">
        <v>56.498150086594229</v>
      </c>
      <c r="G10" s="27">
        <v>48.150346850071742</v>
      </c>
      <c r="H10" s="28">
        <v>-0.14775356757217503</v>
      </c>
      <c r="I10" s="26">
        <v>63415994.829780005</v>
      </c>
      <c r="J10" s="27">
        <v>54019439.969048001</v>
      </c>
      <c r="K10" s="28">
        <v>-0.1481732626911248</v>
      </c>
      <c r="L10" s="24"/>
    </row>
    <row r="11" spans="2:12" s="6" customFormat="1" ht="13.5" thickBot="1" x14ac:dyDescent="0.35">
      <c r="B11" s="29" t="s">
        <v>34</v>
      </c>
      <c r="C11" s="26">
        <v>821171.02800000005</v>
      </c>
      <c r="D11" s="30">
        <v>645043.03099999996</v>
      </c>
      <c r="E11" s="28">
        <v>-0.21448393939197777</v>
      </c>
      <c r="F11" s="26">
        <v>29.485138889845736</v>
      </c>
      <c r="G11" s="30">
        <v>22.839720268850591</v>
      </c>
      <c r="H11" s="28">
        <v>-0.2253819677031853</v>
      </c>
      <c r="I11" s="26">
        <v>24212341.812897403</v>
      </c>
      <c r="J11" s="30">
        <v>14732602.38941152</v>
      </c>
      <c r="K11" s="28">
        <v>-0.39152509479426834</v>
      </c>
      <c r="L11" s="24"/>
    </row>
    <row r="12" spans="2:12" s="6" customFormat="1" ht="13.5" thickBot="1" x14ac:dyDescent="0.35">
      <c r="C12" s="31">
        <v>1943614.767</v>
      </c>
      <c r="D12" s="32">
        <v>1766934.0141999999</v>
      </c>
      <c r="E12" s="33">
        <v>-9.0903174744195667E-2</v>
      </c>
      <c r="F12" s="31">
        <v>45.085239179332397</v>
      </c>
      <c r="G12" s="32">
        <v>38.910362133465306</v>
      </c>
      <c r="H12" s="33">
        <v>-0.13696005961742191</v>
      </c>
      <c r="I12" s="31">
        <v>87628336.642677411</v>
      </c>
      <c r="J12" s="32">
        <v>68752042.358459517</v>
      </c>
      <c r="K12" s="33">
        <v>-0.21541313012923971</v>
      </c>
      <c r="L12" s="24"/>
    </row>
    <row r="13" spans="2:12" s="6" customFormat="1" x14ac:dyDescent="0.3">
      <c r="C13" s="34"/>
      <c r="D13" s="34"/>
      <c r="E13" s="35"/>
      <c r="F13" s="34"/>
      <c r="G13" s="34"/>
      <c r="H13" s="35"/>
      <c r="I13" s="34"/>
      <c r="J13" s="34"/>
      <c r="K13" s="35"/>
      <c r="L13" s="24"/>
    </row>
    <row r="14" spans="2:12" s="6" customFormat="1" x14ac:dyDescent="0.3">
      <c r="B14" s="36"/>
      <c r="C14" s="13">
        <f>+$C$1</f>
        <v>42339</v>
      </c>
      <c r="D14" s="14">
        <f>+$D$1</f>
        <v>42705</v>
      </c>
      <c r="E14" s="15" t="str">
        <f>+$E$1</f>
        <v>2016 / 2015</v>
      </c>
      <c r="F14" s="4"/>
      <c r="G14" s="4"/>
      <c r="H14" s="5"/>
      <c r="I14" s="4"/>
      <c r="J14" s="4"/>
      <c r="K14" s="5"/>
    </row>
    <row r="15" spans="2:12" s="6" customFormat="1" x14ac:dyDescent="0.3">
      <c r="B15" s="37" t="s">
        <v>35</v>
      </c>
      <c r="C15" s="38">
        <v>1.1096250000000001</v>
      </c>
      <c r="D15" s="39">
        <v>1.1066083333333332</v>
      </c>
      <c r="E15" s="40">
        <v>-2.2898640802111416E-4</v>
      </c>
      <c r="F15" s="4"/>
      <c r="G15" s="4"/>
      <c r="H15" s="5"/>
      <c r="I15" s="4"/>
      <c r="J15" s="4"/>
      <c r="K15" s="5"/>
    </row>
    <row r="16" spans="2:12" s="6" customFormat="1" ht="13.5" customHeight="1" thickBot="1" x14ac:dyDescent="0.35">
      <c r="C16" s="4"/>
      <c r="D16" s="4"/>
      <c r="E16" s="5"/>
      <c r="F16" s="4"/>
      <c r="G16" s="4"/>
      <c r="H16" s="5"/>
      <c r="I16" s="4"/>
      <c r="J16" s="41"/>
      <c r="K16" s="5"/>
    </row>
    <row r="17" spans="1:12" ht="13.5" customHeight="1" x14ac:dyDescent="0.3">
      <c r="B17" s="7" t="s">
        <v>36</v>
      </c>
      <c r="C17" s="8"/>
      <c r="D17" s="8"/>
      <c r="E17" s="8"/>
      <c r="F17" s="8"/>
      <c r="G17" s="8"/>
      <c r="H17" s="8"/>
      <c r="I17" s="8"/>
      <c r="J17" s="8"/>
      <c r="K17" s="9"/>
    </row>
    <row r="18" spans="1:12" ht="13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1:12" ht="13.5" customHeight="1" x14ac:dyDescent="0.3">
      <c r="B19" s="968" t="s">
        <v>37</v>
      </c>
      <c r="C19" s="978" t="s">
        <v>38</v>
      </c>
      <c r="D19" s="979"/>
      <c r="E19" s="980"/>
      <c r="F19" s="978" t="s">
        <v>39</v>
      </c>
      <c r="G19" s="979"/>
      <c r="H19" s="980"/>
      <c r="I19" s="970" t="s">
        <v>40</v>
      </c>
      <c r="J19" s="971"/>
      <c r="K19" s="973"/>
    </row>
    <row r="20" spans="1:12" x14ac:dyDescent="0.3">
      <c r="B20" s="977"/>
      <c r="C20" s="13">
        <f>+$C$1</f>
        <v>42339</v>
      </c>
      <c r="D20" s="14">
        <f>+$D$1</f>
        <v>42705</v>
      </c>
      <c r="E20" s="15" t="str">
        <f>+$E$1</f>
        <v>2016 / 2015</v>
      </c>
      <c r="F20" s="13">
        <f>+$C$1</f>
        <v>42339</v>
      </c>
      <c r="G20" s="14">
        <f>+$D$1</f>
        <v>42705</v>
      </c>
      <c r="H20" s="15" t="str">
        <f>+$E$1</f>
        <v>2016 / 2015</v>
      </c>
      <c r="I20" s="13">
        <f>+$C$1</f>
        <v>42339</v>
      </c>
      <c r="J20" s="14">
        <f>+$D$1</f>
        <v>42705</v>
      </c>
      <c r="K20" s="15" t="str">
        <f>+$E$1</f>
        <v>2016 / 2015</v>
      </c>
    </row>
    <row r="21" spans="1:12" s="5" customFormat="1" ht="13.5" thickBot="1" x14ac:dyDescent="0.35">
      <c r="A21" s="42"/>
      <c r="B21" s="43"/>
      <c r="C21" s="17"/>
      <c r="D21" s="17"/>
      <c r="E21" s="18"/>
      <c r="F21" s="17"/>
      <c r="G21" s="17"/>
      <c r="H21" s="18"/>
      <c r="I21" s="17"/>
      <c r="J21" s="17"/>
      <c r="K21" s="19"/>
      <c r="L21" s="6"/>
    </row>
    <row r="22" spans="1:12" s="5" customFormat="1" x14ac:dyDescent="0.3">
      <c r="A22" s="42"/>
      <c r="B22" s="44" t="s">
        <v>41</v>
      </c>
      <c r="C22" s="21">
        <v>67933.8</v>
      </c>
      <c r="D22" s="22">
        <v>70885.8</v>
      </c>
      <c r="E22" s="45">
        <v>4.3454068519647067E-2</v>
      </c>
      <c r="F22" s="21">
        <v>895.03</v>
      </c>
      <c r="G22" s="22">
        <v>844.65</v>
      </c>
      <c r="H22" s="45">
        <v>-5.6288616024043885E-2</v>
      </c>
      <c r="I22" s="26">
        <v>60802789.013999999</v>
      </c>
      <c r="J22" s="46">
        <v>59873690.969999999</v>
      </c>
      <c r="K22" s="47">
        <v>-1.5280516881981721E-2</v>
      </c>
      <c r="L22" s="6"/>
    </row>
    <row r="23" spans="1:12" s="5" customFormat="1" x14ac:dyDescent="0.3">
      <c r="A23" s="42"/>
      <c r="B23" s="48" t="s">
        <v>42</v>
      </c>
      <c r="C23" s="26">
        <v>223095.39400000003</v>
      </c>
      <c r="D23" s="27">
        <v>231448.40399999998</v>
      </c>
      <c r="E23" s="49">
        <v>3.7441427410195433E-2</v>
      </c>
      <c r="F23" s="26">
        <v>290.52859355691135</v>
      </c>
      <c r="G23" s="27">
        <v>200.49649967287309</v>
      </c>
      <c r="H23" s="49">
        <v>-0.30989064718823267</v>
      </c>
      <c r="I23" s="26">
        <v>64815591.047845006</v>
      </c>
      <c r="J23" s="46">
        <v>46404594.856872991</v>
      </c>
      <c r="K23" s="50">
        <v>-0.28405196794983395</v>
      </c>
      <c r="L23" s="6"/>
    </row>
    <row r="24" spans="1:12" s="5" customFormat="1" x14ac:dyDescent="0.3">
      <c r="A24" s="42"/>
      <c r="B24" s="48" t="s">
        <v>43</v>
      </c>
      <c r="C24" s="26">
        <v>32871.740000000005</v>
      </c>
      <c r="D24" s="27">
        <v>38683.120000000003</v>
      </c>
      <c r="E24" s="49">
        <v>0.17678954627896171</v>
      </c>
      <c r="F24" s="26">
        <v>324.81570041074781</v>
      </c>
      <c r="G24" s="27">
        <v>238.82662454527963</v>
      </c>
      <c r="H24" s="49">
        <v>-0.26473189490757415</v>
      </c>
      <c r="I24" s="26">
        <v>10677257.251819996</v>
      </c>
      <c r="J24" s="46">
        <v>9238558.9764799979</v>
      </c>
      <c r="K24" s="50">
        <v>-0.13474418021489221</v>
      </c>
      <c r="L24" s="6"/>
    </row>
    <row r="25" spans="1:12" s="5" customFormat="1" x14ac:dyDescent="0.3">
      <c r="A25" s="42"/>
      <c r="B25" s="48" t="s">
        <v>44</v>
      </c>
      <c r="C25" s="26">
        <v>57646.455999999998</v>
      </c>
      <c r="D25" s="27">
        <v>59989.95</v>
      </c>
      <c r="E25" s="28">
        <v>4.0652872051666088E-2</v>
      </c>
      <c r="F25" s="27">
        <v>322.78117218515575</v>
      </c>
      <c r="G25" s="27">
        <v>287.44931134965105</v>
      </c>
      <c r="H25" s="28">
        <v>-0.10946072410703502</v>
      </c>
      <c r="I25" s="26">
        <v>18607190.640000004</v>
      </c>
      <c r="J25" s="46">
        <v>17244069.815399997</v>
      </c>
      <c r="K25" s="51">
        <v>-7.3257744867175026E-2</v>
      </c>
      <c r="L25" s="6"/>
    </row>
    <row r="26" spans="1:12" s="5" customFormat="1" x14ac:dyDescent="0.3">
      <c r="A26" s="42"/>
      <c r="B26" s="48" t="s">
        <v>45</v>
      </c>
      <c r="C26" s="26">
        <v>2492</v>
      </c>
      <c r="D26" s="27">
        <v>2743.99</v>
      </c>
      <c r="E26" s="49">
        <v>0.10111958266452639</v>
      </c>
      <c r="F26" s="26">
        <v>1271.7736757624398</v>
      </c>
      <c r="G26" s="27">
        <v>1281.4506357530461</v>
      </c>
      <c r="H26" s="49">
        <v>7.6090268064440535E-3</v>
      </c>
      <c r="I26" s="26">
        <v>3169260</v>
      </c>
      <c r="J26" s="46">
        <v>3516287.7300000004</v>
      </c>
      <c r="K26" s="50">
        <v>0.10949803108612119</v>
      </c>
      <c r="L26" s="6"/>
    </row>
    <row r="27" spans="1:12" s="5" customFormat="1" x14ac:dyDescent="0.3">
      <c r="A27" s="42"/>
      <c r="B27" s="48" t="s">
        <v>46</v>
      </c>
      <c r="C27" s="26">
        <v>4522.4500000000007</v>
      </c>
      <c r="D27" s="27">
        <v>4688.5700000000006</v>
      </c>
      <c r="E27" s="49">
        <v>3.6732302181339729E-2</v>
      </c>
      <c r="F27" s="26">
        <v>871.13126071045542</v>
      </c>
      <c r="G27" s="27">
        <v>858.08362885485337</v>
      </c>
      <c r="H27" s="49">
        <v>-1.4977802363516363E-2</v>
      </c>
      <c r="I27" s="26">
        <v>3939647.57</v>
      </c>
      <c r="J27" s="46">
        <v>4023185.1597400005</v>
      </c>
      <c r="K27" s="50">
        <v>2.1204330655394302E-2</v>
      </c>
      <c r="L27" s="6"/>
    </row>
    <row r="28" spans="1:12" s="5" customFormat="1" x14ac:dyDescent="0.3">
      <c r="A28" s="42"/>
      <c r="B28" s="25" t="s">
        <v>47</v>
      </c>
      <c r="C28" s="52">
        <v>12229</v>
      </c>
      <c r="D28" s="53">
        <v>12606</v>
      </c>
      <c r="E28" s="49">
        <v>3.0828358819200263E-2</v>
      </c>
      <c r="F28" s="26">
        <v>976.57838145047367</v>
      </c>
      <c r="G28" s="27">
        <v>939.49748673257761</v>
      </c>
      <c r="H28" s="49">
        <v>-3.7970218696446317E-2</v>
      </c>
      <c r="I28" s="26">
        <v>10430868.07</v>
      </c>
      <c r="J28" s="46">
        <v>9433864.9200000018</v>
      </c>
      <c r="K28" s="50">
        <v>-9.5581992151492962E-2</v>
      </c>
      <c r="L28" s="6"/>
    </row>
    <row r="29" spans="1:12" s="5" customFormat="1" ht="13.5" thickBot="1" x14ac:dyDescent="0.35">
      <c r="A29" s="42"/>
      <c r="B29" s="54" t="s">
        <v>6</v>
      </c>
      <c r="C29" s="55">
        <v>21833.119999999999</v>
      </c>
      <c r="D29" s="30">
        <v>34038.728999999999</v>
      </c>
      <c r="E29" s="49">
        <v>0.55904098910279432</v>
      </c>
      <c r="F29" s="26">
        <v>274.5</v>
      </c>
      <c r="G29" s="30">
        <v>239.26</v>
      </c>
      <c r="H29" s="49">
        <v>-0.12837887067395268</v>
      </c>
      <c r="I29" s="55">
        <v>5993191.4399999995</v>
      </c>
      <c r="J29" s="56">
        <v>8144106.3005399993</v>
      </c>
      <c r="K29" s="57">
        <v>0.35889306758737544</v>
      </c>
      <c r="L29" s="6"/>
    </row>
    <row r="30" spans="1:12" s="5" customFormat="1" ht="13.5" thickBot="1" x14ac:dyDescent="0.35">
      <c r="A30" s="42"/>
      <c r="B30" s="48"/>
      <c r="C30" s="31">
        <v>422623.96</v>
      </c>
      <c r="D30" s="31">
        <v>455084.56299999997</v>
      </c>
      <c r="E30" s="33">
        <v>7.6807294598252168E-2</v>
      </c>
      <c r="F30" s="31">
        <v>422.20936795364133</v>
      </c>
      <c r="G30" s="32">
        <v>346.92092759259992</v>
      </c>
      <c r="H30" s="33">
        <v>-0.17832015600683709</v>
      </c>
      <c r="I30" s="31">
        <v>178435795.033665</v>
      </c>
      <c r="J30" s="31">
        <v>157878358.72903296</v>
      </c>
      <c r="K30" s="33">
        <v>-0.11520915016380834</v>
      </c>
      <c r="L30" s="6"/>
    </row>
    <row r="31" spans="1:12" s="5" customFormat="1" ht="13.5" customHeight="1" thickBot="1" x14ac:dyDescent="0.35">
      <c r="A31" s="42"/>
      <c r="B31" s="6"/>
      <c r="C31" s="4"/>
      <c r="D31" s="4"/>
      <c r="F31" s="4"/>
      <c r="G31" s="4"/>
      <c r="I31" s="4"/>
      <c r="J31" s="4"/>
      <c r="L31" s="6"/>
    </row>
    <row r="32" spans="1:12" s="5" customFormat="1" ht="13.5" customHeight="1" x14ac:dyDescent="0.3">
      <c r="A32" s="42"/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9"/>
      <c r="L32" s="6"/>
    </row>
    <row r="33" spans="1:14" s="5" customFormat="1" ht="13.5" customHeight="1" x14ac:dyDescent="0.3">
      <c r="A33" s="42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6"/>
    </row>
    <row r="34" spans="1:14" s="5" customFormat="1" ht="13.5" customHeight="1" x14ac:dyDescent="0.3">
      <c r="A34" s="42"/>
      <c r="B34" s="968" t="s">
        <v>37</v>
      </c>
      <c r="C34" s="978" t="s">
        <v>49</v>
      </c>
      <c r="D34" s="979"/>
      <c r="E34" s="980"/>
      <c r="F34" s="978" t="s">
        <v>39</v>
      </c>
      <c r="G34" s="979"/>
      <c r="H34" s="980"/>
      <c r="I34" s="978" t="s">
        <v>50</v>
      </c>
      <c r="J34" s="979"/>
      <c r="K34" s="981"/>
      <c r="L34" s="6"/>
    </row>
    <row r="35" spans="1:14" s="5" customFormat="1" x14ac:dyDescent="0.3">
      <c r="A35" s="42"/>
      <c r="B35" s="977"/>
      <c r="C35" s="13">
        <f>+$C$1</f>
        <v>42339</v>
      </c>
      <c r="D35" s="14">
        <f>+$D$1</f>
        <v>42705</v>
      </c>
      <c r="E35" s="15" t="str">
        <f>+$E$1</f>
        <v>2016 / 2015</v>
      </c>
      <c r="F35" s="13">
        <f>+$C$1</f>
        <v>42339</v>
      </c>
      <c r="G35" s="14">
        <f>+$D$1</f>
        <v>42705</v>
      </c>
      <c r="H35" s="15" t="str">
        <f>+$E$1</f>
        <v>2016 / 2015</v>
      </c>
      <c r="I35" s="13">
        <f>+$C$1</f>
        <v>42339</v>
      </c>
      <c r="J35" s="14">
        <f>+$D$1</f>
        <v>42705</v>
      </c>
      <c r="K35" s="15" t="str">
        <f>+$E$1</f>
        <v>2016 / 2015</v>
      </c>
      <c r="L35" s="6"/>
    </row>
    <row r="36" spans="1:14" s="5" customFormat="1" ht="13.5" thickBot="1" x14ac:dyDescent="0.35">
      <c r="A36" s="42"/>
      <c r="B36" s="43"/>
      <c r="C36" s="17"/>
      <c r="D36" s="17"/>
      <c r="E36" s="18"/>
      <c r="F36" s="17"/>
      <c r="G36" s="17"/>
      <c r="H36" s="18"/>
      <c r="I36" s="17"/>
      <c r="J36" s="17"/>
      <c r="K36" s="19"/>
      <c r="L36" s="6"/>
    </row>
    <row r="37" spans="1:14" s="5" customFormat="1" ht="13.5" thickBot="1" x14ac:dyDescent="0.35">
      <c r="A37" s="42"/>
      <c r="B37" s="58" t="s">
        <v>51</v>
      </c>
      <c r="C37" s="59"/>
      <c r="D37" s="59"/>
      <c r="E37" s="59"/>
      <c r="F37" s="59"/>
      <c r="G37" s="59"/>
      <c r="H37" s="59"/>
      <c r="I37" s="59"/>
      <c r="J37" s="59"/>
      <c r="K37" s="60"/>
      <c r="L37" s="34"/>
      <c r="M37" s="62">
        <v>136327.18</v>
      </c>
      <c r="N37" s="21">
        <v>312.51655025798959</v>
      </c>
    </row>
    <row r="38" spans="1:14" s="5" customFormat="1" x14ac:dyDescent="0.3">
      <c r="A38" s="42"/>
      <c r="B38" s="61" t="s">
        <v>52</v>
      </c>
      <c r="C38" s="62">
        <v>136327.18</v>
      </c>
      <c r="D38" s="63">
        <v>154181.15999999997</v>
      </c>
      <c r="E38" s="23">
        <v>0.1309641995088579</v>
      </c>
      <c r="F38" s="21">
        <v>312.51655025798959</v>
      </c>
      <c r="G38" s="22">
        <v>343.11967817598475</v>
      </c>
      <c r="H38" s="23">
        <v>9.7924823158106564E-2</v>
      </c>
      <c r="I38" s="21">
        <v>42604499.999999993</v>
      </c>
      <c r="J38" s="22">
        <v>52902590</v>
      </c>
      <c r="K38" s="23">
        <v>0.24171366874391226</v>
      </c>
      <c r="L38" s="24"/>
      <c r="M38" s="65">
        <v>31229.47</v>
      </c>
      <c r="N38" s="26">
        <v>437.96132307080461</v>
      </c>
    </row>
    <row r="39" spans="1:14" s="5" customFormat="1" x14ac:dyDescent="0.3">
      <c r="A39" s="42"/>
      <c r="B39" s="64" t="s">
        <v>53</v>
      </c>
      <c r="C39" s="65">
        <v>31229.47</v>
      </c>
      <c r="D39" s="66">
        <v>39229.999999999993</v>
      </c>
      <c r="E39" s="28">
        <v>0.25618526347068943</v>
      </c>
      <c r="F39" s="26">
        <v>437.96132307080461</v>
      </c>
      <c r="G39" s="27">
        <v>463.57965842467507</v>
      </c>
      <c r="H39" s="28">
        <v>5.8494515392923822E-2</v>
      </c>
      <c r="I39" s="26">
        <v>13677300.000000002</v>
      </c>
      <c r="J39" s="27">
        <v>18186230</v>
      </c>
      <c r="K39" s="28">
        <v>0.32966521170113966</v>
      </c>
      <c r="L39" s="24"/>
      <c r="M39" s="65">
        <f>M37+M38</f>
        <v>167556.65</v>
      </c>
      <c r="N39" s="4">
        <f>(M37*N37+M38*N38)/M39</f>
        <v>335.89714284691172</v>
      </c>
    </row>
    <row r="40" spans="1:14" s="5" customFormat="1" ht="13.5" thickBot="1" x14ac:dyDescent="0.35">
      <c r="A40" s="42"/>
      <c r="B40" s="64" t="s">
        <v>19</v>
      </c>
      <c r="C40" s="137">
        <f>C38+C39</f>
        <v>167556.65</v>
      </c>
      <c r="D40" s="142">
        <f>D38+D39</f>
        <v>193411.15999999997</v>
      </c>
      <c r="E40" s="96">
        <f>(D40-C40)/C40</f>
        <v>0.15430309689290148</v>
      </c>
      <c r="F40" s="97">
        <f>N39</f>
        <v>335.89714284691172</v>
      </c>
      <c r="G40" s="98">
        <f>N43</f>
        <v>367.5528340763791</v>
      </c>
      <c r="H40" s="96">
        <f>(G40-F40)/F40</f>
        <v>9.4242216415323182E-2</v>
      </c>
      <c r="I40" s="137">
        <f>I38+I39</f>
        <v>56281799.999999993</v>
      </c>
      <c r="J40" s="142">
        <f>J38+J39</f>
        <v>71088820</v>
      </c>
      <c r="K40" s="96">
        <f>(J40-I40)/I40</f>
        <v>0.26308717915915997</v>
      </c>
      <c r="L40" s="24"/>
    </row>
    <row r="41" spans="1:14" x14ac:dyDescent="0.3">
      <c r="B41" s="64" t="s">
        <v>54</v>
      </c>
      <c r="C41" s="65">
        <v>69727.100000000006</v>
      </c>
      <c r="D41" s="66">
        <v>66490.100000000006</v>
      </c>
      <c r="E41" s="28">
        <v>-4.6423843813954688E-2</v>
      </c>
      <c r="F41" s="26">
        <v>296.8778279894043</v>
      </c>
      <c r="G41" s="27">
        <v>274.06004803722658</v>
      </c>
      <c r="H41" s="28">
        <v>-7.6859158215722645E-2</v>
      </c>
      <c r="I41" s="26">
        <v>20700429.999999993</v>
      </c>
      <c r="J41" s="27">
        <v>18222280</v>
      </c>
      <c r="K41" s="28">
        <v>-0.11971490447299855</v>
      </c>
      <c r="L41" s="24"/>
      <c r="M41" s="63">
        <v>154181.16</v>
      </c>
      <c r="N41" s="22">
        <v>343.11967817598475</v>
      </c>
    </row>
    <row r="42" spans="1:14" x14ac:dyDescent="0.3">
      <c r="B42" s="64" t="s">
        <v>55</v>
      </c>
      <c r="C42" s="65">
        <v>24535.83</v>
      </c>
      <c r="D42" s="66">
        <v>26248.730000000003</v>
      </c>
      <c r="E42" s="28">
        <v>6.9812188949793075E-2</v>
      </c>
      <c r="F42" s="26">
        <v>420.79929637595302</v>
      </c>
      <c r="G42" s="27">
        <v>417.0597967977879</v>
      </c>
      <c r="H42" s="28">
        <v>-8.8866583437063485E-3</v>
      </c>
      <c r="I42" s="26">
        <v>10324660</v>
      </c>
      <c r="J42" s="27">
        <v>10947290</v>
      </c>
      <c r="K42" s="28">
        <v>6.0305133534663609E-2</v>
      </c>
      <c r="L42" s="24"/>
      <c r="M42" s="66">
        <v>39229.999999999993</v>
      </c>
      <c r="N42" s="27">
        <v>463.57965842467507</v>
      </c>
    </row>
    <row r="43" spans="1:14" x14ac:dyDescent="0.3">
      <c r="B43" s="64" t="s">
        <v>56</v>
      </c>
      <c r="C43" s="65">
        <v>4268.38</v>
      </c>
      <c r="D43" s="66">
        <v>4092.8999999999996</v>
      </c>
      <c r="E43" s="28">
        <v>-4.1111616116653267E-2</v>
      </c>
      <c r="F43" s="26">
        <v>2609.8634610789109</v>
      </c>
      <c r="G43" s="27">
        <v>2641.2348212758684</v>
      </c>
      <c r="H43" s="28">
        <v>1.2020307063875557E-2</v>
      </c>
      <c r="I43" s="26">
        <v>11139889.000000002</v>
      </c>
      <c r="J43" s="27">
        <v>10810310</v>
      </c>
      <c r="K43" s="28">
        <v>-2.9585483302392135E-2</v>
      </c>
      <c r="L43" s="24"/>
      <c r="M43" s="66">
        <f>M41+M42</f>
        <v>193411.16</v>
      </c>
      <c r="N43" s="4">
        <f>(M41*N41+M42*N42)/M43</f>
        <v>367.5528340763791</v>
      </c>
    </row>
    <row r="44" spans="1:14" x14ac:dyDescent="0.3">
      <c r="B44" s="64" t="s">
        <v>57</v>
      </c>
      <c r="C44" s="65">
        <v>146071.92000000004</v>
      </c>
      <c r="D44" s="66">
        <v>121795.49999999999</v>
      </c>
      <c r="E44" s="28">
        <v>-0.16619498121199508</v>
      </c>
      <c r="F44" s="26">
        <v>85.062481550184316</v>
      </c>
      <c r="G44" s="27">
        <v>79.78833372333132</v>
      </c>
      <c r="H44" s="28">
        <v>-6.2003220817645754E-2</v>
      </c>
      <c r="I44" s="26">
        <v>12425240.000000004</v>
      </c>
      <c r="J44" s="27">
        <v>9717859.9999999981</v>
      </c>
      <c r="K44" s="28">
        <v>-0.2178935779107691</v>
      </c>
      <c r="L44" s="24"/>
    </row>
    <row r="45" spans="1:14" x14ac:dyDescent="0.3">
      <c r="B45" s="64" t="s">
        <v>58</v>
      </c>
      <c r="C45" s="65">
        <v>29937.230000000003</v>
      </c>
      <c r="D45" s="66">
        <v>30683.95</v>
      </c>
      <c r="E45" s="28">
        <v>2.4942855434520742E-2</v>
      </c>
      <c r="F45" s="26">
        <v>97.880465226742743</v>
      </c>
      <c r="G45" s="27">
        <v>86.203373424868715</v>
      </c>
      <c r="H45" s="28">
        <v>-0.11929951267419632</v>
      </c>
      <c r="I45" s="26">
        <v>2930270</v>
      </c>
      <c r="J45" s="27">
        <v>2645060.0000000005</v>
      </c>
      <c r="K45" s="28">
        <v>-9.7332327737716842E-2</v>
      </c>
      <c r="L45" s="24"/>
      <c r="M45" s="65">
        <v>22975.48</v>
      </c>
      <c r="N45" s="26">
        <v>788.77481558600732</v>
      </c>
    </row>
    <row r="46" spans="1:14" x14ac:dyDescent="0.3">
      <c r="B46" s="64" t="s">
        <v>59</v>
      </c>
      <c r="C46" s="65">
        <v>22975.48</v>
      </c>
      <c r="D46" s="66">
        <v>21654.46</v>
      </c>
      <c r="E46" s="28">
        <v>-5.7496948921197749E-2</v>
      </c>
      <c r="F46" s="26">
        <v>788.77481558600732</v>
      </c>
      <c r="G46" s="27">
        <v>736.07607855379456</v>
      </c>
      <c r="H46" s="28">
        <v>-6.6810876806533304E-2</v>
      </c>
      <c r="I46" s="26">
        <v>18122480</v>
      </c>
      <c r="J46" s="27">
        <v>15939330.000000002</v>
      </c>
      <c r="K46" s="28">
        <v>-0.12046640415660539</v>
      </c>
      <c r="L46" s="24"/>
      <c r="M46" s="65">
        <v>11630.41</v>
      </c>
      <c r="N46" s="26">
        <v>932.04710753963116</v>
      </c>
    </row>
    <row r="47" spans="1:14" x14ac:dyDescent="0.3">
      <c r="B47" s="64" t="s">
        <v>60</v>
      </c>
      <c r="C47" s="65">
        <v>11630.41</v>
      </c>
      <c r="D47" s="66">
        <v>10147.23</v>
      </c>
      <c r="E47" s="28">
        <v>-0.12752602874705193</v>
      </c>
      <c r="F47" s="26">
        <v>932.04710753963116</v>
      </c>
      <c r="G47" s="27">
        <v>898.40872829333728</v>
      </c>
      <c r="H47" s="28">
        <v>-3.6090857397852671E-2</v>
      </c>
      <c r="I47" s="26">
        <v>10840090.000000002</v>
      </c>
      <c r="J47" s="27">
        <v>9116360</v>
      </c>
      <c r="K47" s="28">
        <v>-0.15901436242688036</v>
      </c>
      <c r="L47" s="24"/>
      <c r="M47" s="65">
        <f>M45+M46</f>
        <v>34605.89</v>
      </c>
      <c r="N47" s="4">
        <f>(M45*N45+M46*N46)/M47</f>
        <v>836.92602617646878</v>
      </c>
    </row>
    <row r="48" spans="1:14" x14ac:dyDescent="0.3">
      <c r="B48" s="64" t="s">
        <v>20</v>
      </c>
      <c r="C48" s="137">
        <f>C46+C47</f>
        <v>34605.89</v>
      </c>
      <c r="D48" s="142">
        <f>D46+D47</f>
        <v>31801.69</v>
      </c>
      <c r="E48" s="96">
        <f>(D48-C48)/C48</f>
        <v>-8.1032448522491418E-2</v>
      </c>
      <c r="F48" s="97">
        <f>N47</f>
        <v>836.92602617646878</v>
      </c>
      <c r="G48" s="98">
        <f>N51</f>
        <v>787.87290864101874</v>
      </c>
      <c r="H48" s="96">
        <f>(G48-F48)/F48</f>
        <v>-5.8611055220198181E-2</v>
      </c>
      <c r="I48" s="137">
        <f>I46+I47</f>
        <v>28962570</v>
      </c>
      <c r="J48" s="142">
        <f>J46+J47</f>
        <v>25055690</v>
      </c>
      <c r="K48" s="96">
        <f>(J48-I48)/I48</f>
        <v>-0.13489410642770996</v>
      </c>
      <c r="L48" s="24"/>
    </row>
    <row r="49" spans="1:14" x14ac:dyDescent="0.3">
      <c r="B49" s="64" t="s">
        <v>61</v>
      </c>
      <c r="C49" s="65">
        <v>9508.8599999999988</v>
      </c>
      <c r="D49" s="66">
        <v>10764.7</v>
      </c>
      <c r="E49" s="28">
        <v>0.13207051108124446</v>
      </c>
      <c r="F49" s="26">
        <v>804.17421226098611</v>
      </c>
      <c r="G49" s="27">
        <v>756.468828671491</v>
      </c>
      <c r="H49" s="28">
        <v>-5.9322200167757737E-2</v>
      </c>
      <c r="I49" s="26">
        <v>7646779.9999999991</v>
      </c>
      <c r="J49" s="27">
        <v>8143160</v>
      </c>
      <c r="K49" s="28">
        <v>6.4913597618867155E-2</v>
      </c>
      <c r="L49" s="24"/>
      <c r="M49" s="66">
        <v>21654.46</v>
      </c>
      <c r="N49" s="27">
        <v>736.07607855379456</v>
      </c>
    </row>
    <row r="50" spans="1:14" x14ac:dyDescent="0.3">
      <c r="B50" s="64" t="s">
        <v>5</v>
      </c>
      <c r="C50" s="65">
        <v>21032.400000000001</v>
      </c>
      <c r="D50" s="66">
        <v>20205.2</v>
      </c>
      <c r="E50" s="28">
        <v>-3.9329795933892506E-2</v>
      </c>
      <c r="F50" s="26">
        <v>1413.0686177278865</v>
      </c>
      <c r="G50" s="27">
        <v>1486.4792231702729</v>
      </c>
      <c r="H50" s="28">
        <v>5.1951196510488962E-2</v>
      </c>
      <c r="I50" s="26">
        <v>29720224.395500001</v>
      </c>
      <c r="J50" s="27">
        <v>30034610</v>
      </c>
      <c r="K50" s="28">
        <v>1.0578170619317437E-2</v>
      </c>
      <c r="L50" s="24"/>
      <c r="M50" s="66">
        <v>10147.23</v>
      </c>
      <c r="N50" s="27">
        <v>898.40872829333728</v>
      </c>
    </row>
    <row r="51" spans="1:14" x14ac:dyDescent="0.3">
      <c r="A51" s="6"/>
      <c r="B51" s="64" t="s">
        <v>62</v>
      </c>
      <c r="C51" s="65">
        <v>152988.94999999998</v>
      </c>
      <c r="D51" s="66">
        <v>156239.19999999998</v>
      </c>
      <c r="E51" s="28">
        <v>2.1244998413284099E-2</v>
      </c>
      <c r="F51" s="26">
        <v>752.8231349695518</v>
      </c>
      <c r="G51" s="27">
        <v>757.54957486981482</v>
      </c>
      <c r="H51" s="28">
        <v>6.2782872639191405E-3</v>
      </c>
      <c r="I51" s="26">
        <v>115173620.95469999</v>
      </c>
      <c r="J51" s="27">
        <v>118358939.53799996</v>
      </c>
      <c r="K51" s="28">
        <v>2.7656667880163393E-2</v>
      </c>
      <c r="L51" s="24"/>
      <c r="M51" s="66">
        <f>M49+M50</f>
        <v>31801.69</v>
      </c>
      <c r="N51" s="4">
        <f>(M49*N49+M50*N50)/M51</f>
        <v>787.87290864101874</v>
      </c>
    </row>
    <row r="52" spans="1:14" ht="13.5" thickBot="1" x14ac:dyDescent="0.35">
      <c r="A52" s="6"/>
      <c r="B52" s="67" t="s">
        <v>63</v>
      </c>
      <c r="C52" s="68">
        <v>8696.94</v>
      </c>
      <c r="D52" s="69">
        <v>9720.9399999999987</v>
      </c>
      <c r="E52" s="70">
        <v>0.11774256232651922</v>
      </c>
      <c r="F52" s="71">
        <v>1001.4252169613679</v>
      </c>
      <c r="G52" s="30">
        <v>969.8123545585081</v>
      </c>
      <c r="H52" s="70">
        <v>-3.1567871337195783E-2</v>
      </c>
      <c r="I52" s="71">
        <v>8709335.0263999999</v>
      </c>
      <c r="J52" s="30">
        <v>9427487.7099219821</v>
      </c>
      <c r="K52" s="70">
        <v>8.2457808930888082E-2</v>
      </c>
      <c r="L52" s="24"/>
    </row>
    <row r="53" spans="1:14" ht="13.5" thickBot="1" x14ac:dyDescent="0.35">
      <c r="A53" s="6"/>
      <c r="B53" s="72"/>
      <c r="C53" s="73">
        <v>668930.14999999991</v>
      </c>
      <c r="D53" s="73">
        <v>671454.07</v>
      </c>
      <c r="E53" s="74">
        <v>3.7730695798358651E-3</v>
      </c>
      <c r="F53" s="73">
        <v>454.47917002485246</v>
      </c>
      <c r="G53" s="73">
        <v>468.31424709052993</v>
      </c>
      <c r="H53" s="74">
        <v>3.0441608720859346E-2</v>
      </c>
      <c r="I53" s="73">
        <v>304014819.37660003</v>
      </c>
      <c r="J53" s="73">
        <v>314451507.24792194</v>
      </c>
      <c r="K53" s="74">
        <v>3.4329536608521088E-2</v>
      </c>
      <c r="L53" s="24"/>
    </row>
    <row r="54" spans="1:14" ht="13.5" thickBot="1" x14ac:dyDescent="0.35">
      <c r="A54" s="6"/>
      <c r="B54" s="75"/>
      <c r="C54" s="76"/>
      <c r="D54" s="76"/>
      <c r="E54" s="77"/>
      <c r="F54" s="76"/>
      <c r="G54" s="76"/>
      <c r="H54" s="77"/>
      <c r="I54" s="76"/>
      <c r="J54" s="76"/>
      <c r="K54" s="77"/>
      <c r="L54" s="24"/>
    </row>
    <row r="55" spans="1:14" ht="13.5" thickBot="1" x14ac:dyDescent="0.35">
      <c r="A55" s="6"/>
      <c r="B55" s="78" t="s">
        <v>64</v>
      </c>
      <c r="C55" s="79"/>
      <c r="D55" s="79"/>
      <c r="E55" s="79"/>
      <c r="F55" s="79"/>
      <c r="G55" s="79"/>
      <c r="H55" s="79"/>
      <c r="I55" s="79"/>
      <c r="J55" s="79"/>
      <c r="K55" s="80"/>
      <c r="L55" s="24"/>
    </row>
    <row r="56" spans="1:14" x14ac:dyDescent="0.3">
      <c r="A56" s="6"/>
      <c r="B56" s="81" t="s">
        <v>65</v>
      </c>
      <c r="C56" s="26">
        <v>48980.669999999882</v>
      </c>
      <c r="D56" s="27">
        <v>49219.949999999881</v>
      </c>
      <c r="E56" s="82">
        <v>4.8851924647008585E-3</v>
      </c>
      <c r="F56" s="26">
        <v>311.28466086723648</v>
      </c>
      <c r="G56" s="27">
        <v>249.02827085358723</v>
      </c>
      <c r="H56" s="28">
        <v>-0.19999825831508519</v>
      </c>
      <c r="I56" s="76">
        <v>15246931.249999987</v>
      </c>
      <c r="J56" s="27">
        <v>12257159.039999992</v>
      </c>
      <c r="K56" s="28">
        <v>-0.19609009583485842</v>
      </c>
      <c r="L56" s="24"/>
    </row>
    <row r="57" spans="1:14" x14ac:dyDescent="0.3">
      <c r="A57" s="6"/>
      <c r="B57" s="83" t="s">
        <v>9</v>
      </c>
      <c r="C57" s="26">
        <v>65241.829999999929</v>
      </c>
      <c r="D57" s="27">
        <v>66102.439999999944</v>
      </c>
      <c r="E57" s="82">
        <v>1.319107695170439E-2</v>
      </c>
      <c r="F57" s="26">
        <v>648.24161661314497</v>
      </c>
      <c r="G57" s="27">
        <v>509.01912486135171</v>
      </c>
      <c r="H57" s="28">
        <v>-0.21476944426861427</v>
      </c>
      <c r="I57" s="76">
        <v>42292469.349999934</v>
      </c>
      <c r="J57" s="27">
        <v>33647406.159999982</v>
      </c>
      <c r="K57" s="28">
        <v>-0.20441140758313198</v>
      </c>
      <c r="L57" s="24"/>
    </row>
    <row r="58" spans="1:14" x14ac:dyDescent="0.3">
      <c r="A58" s="6"/>
      <c r="B58" s="83" t="s">
        <v>10</v>
      </c>
      <c r="C58" s="26">
        <v>25499.579999999944</v>
      </c>
      <c r="D58" s="27">
        <v>26781.449999999943</v>
      </c>
      <c r="E58" s="82">
        <v>5.0270239745125282E-2</v>
      </c>
      <c r="F58" s="26">
        <v>1346.340260898415</v>
      </c>
      <c r="G58" s="27">
        <v>1281.371731926391</v>
      </c>
      <c r="H58" s="28">
        <v>-4.8255653387851843E-2</v>
      </c>
      <c r="I58" s="76">
        <v>34331111.189999931</v>
      </c>
      <c r="J58" s="27">
        <v>34316992.969999969</v>
      </c>
      <c r="K58" s="28">
        <v>-4.1123690759167601E-4</v>
      </c>
      <c r="L58" s="24"/>
      <c r="M58" s="26">
        <v>21406.759999999958</v>
      </c>
      <c r="N58" s="26">
        <v>1182.8462793995925</v>
      </c>
    </row>
    <row r="59" spans="1:14" ht="13.5" thickBot="1" x14ac:dyDescent="0.35">
      <c r="A59" s="6"/>
      <c r="B59" s="83" t="s">
        <v>42</v>
      </c>
      <c r="C59" s="26">
        <v>35297.71999999995</v>
      </c>
      <c r="D59" s="27">
        <v>39248.979999999952</v>
      </c>
      <c r="E59" s="82">
        <v>0.11194094122793222</v>
      </c>
      <c r="F59" s="26">
        <v>320.67228619865534</v>
      </c>
      <c r="G59" s="27">
        <v>220.99689877291095</v>
      </c>
      <c r="H59" s="28">
        <v>-0.31083255933129139</v>
      </c>
      <c r="I59" s="76">
        <v>11319000.569999985</v>
      </c>
      <c r="J59" s="27">
        <v>8673902.8599999957</v>
      </c>
      <c r="K59" s="28">
        <v>-0.23368650735919108</v>
      </c>
      <c r="L59" s="24"/>
      <c r="M59" s="71">
        <v>250.31999999999942</v>
      </c>
      <c r="N59" s="71">
        <v>1974.8856263982132</v>
      </c>
    </row>
    <row r="60" spans="1:14" x14ac:dyDescent="0.3">
      <c r="A60" s="6"/>
      <c r="B60" s="83" t="s">
        <v>8</v>
      </c>
      <c r="C60" s="26">
        <v>71172.209999999948</v>
      </c>
      <c r="D60" s="27">
        <v>66034.589999999924</v>
      </c>
      <c r="E60" s="82">
        <v>-7.2185759020269677E-2</v>
      </c>
      <c r="F60" s="26">
        <v>239.67825981517186</v>
      </c>
      <c r="G60" s="27">
        <v>187.28833070667949</v>
      </c>
      <c r="H60" s="28">
        <v>-0.21858440206004881</v>
      </c>
      <c r="I60" s="76">
        <v>17058431.43999996</v>
      </c>
      <c r="J60" s="27">
        <v>12367508.129999977</v>
      </c>
      <c r="K60" s="28">
        <v>-0.27499148010762203</v>
      </c>
      <c r="L60" s="24"/>
      <c r="M60" s="97">
        <f>M58+M59</f>
        <v>21657.079999999958</v>
      </c>
      <c r="N60" s="4">
        <f>(M58*N58+M59*N59)/M60</f>
        <v>1192.0009433404698</v>
      </c>
    </row>
    <row r="61" spans="1:14" x14ac:dyDescent="0.3">
      <c r="A61" s="6"/>
      <c r="B61" s="83" t="s">
        <v>13</v>
      </c>
      <c r="C61" s="26">
        <v>21406.759999999958</v>
      </c>
      <c r="D61" s="27">
        <v>19358.909999999974</v>
      </c>
      <c r="E61" s="82">
        <v>-9.5663706231115211E-2</v>
      </c>
      <c r="F61" s="26">
        <v>1182.8462793995925</v>
      </c>
      <c r="G61" s="27">
        <v>1190.6912455298368</v>
      </c>
      <c r="H61" s="28">
        <v>6.6322786543542853E-3</v>
      </c>
      <c r="I61" s="76">
        <v>25320906.419999972</v>
      </c>
      <c r="J61" s="27">
        <v>23050484.659999982</v>
      </c>
      <c r="K61" s="28">
        <v>-8.9665895933594031E-2</v>
      </c>
      <c r="L61" s="24"/>
    </row>
    <row r="62" spans="1:14" ht="13.5" thickBot="1" x14ac:dyDescent="0.35">
      <c r="A62" s="6"/>
      <c r="B62" s="54" t="s">
        <v>68</v>
      </c>
      <c r="C62" s="71">
        <v>250.31999999999942</v>
      </c>
      <c r="D62" s="30">
        <v>176.66999999999962</v>
      </c>
      <c r="E62" s="82">
        <v>-0.29422339405560871</v>
      </c>
      <c r="F62" s="71">
        <v>1974.8856263982132</v>
      </c>
      <c r="G62" s="30">
        <v>1973.6295352917882</v>
      </c>
      <c r="H62" s="28">
        <v>-6.3603232999158519E-4</v>
      </c>
      <c r="I62" s="71">
        <v>494353.36999999959</v>
      </c>
      <c r="J62" s="30">
        <v>348681.12999999948</v>
      </c>
      <c r="K62" s="28">
        <v>-0.29467229079474105</v>
      </c>
      <c r="L62" s="24"/>
      <c r="M62" s="27">
        <v>19358.909999999974</v>
      </c>
      <c r="N62" s="27">
        <v>1190.6912455298368</v>
      </c>
    </row>
    <row r="63" spans="1:14" ht="13.5" thickBot="1" x14ac:dyDescent="0.35">
      <c r="A63" s="6"/>
      <c r="B63" s="83" t="s">
        <v>21</v>
      </c>
      <c r="C63" s="97">
        <f>C61+C62</f>
        <v>21657.079999999958</v>
      </c>
      <c r="D63" s="97">
        <f>D61+D62</f>
        <v>19535.579999999973</v>
      </c>
      <c r="E63" s="96">
        <f>(D63-C63)/C63</f>
        <v>-9.7958727584696995E-2</v>
      </c>
      <c r="F63" s="97">
        <f>N60</f>
        <v>1192.0009433404698</v>
      </c>
      <c r="G63" s="98">
        <f>N64</f>
        <v>1197.7717472427239</v>
      </c>
      <c r="H63" s="96">
        <f>(G63-F63)/F63</f>
        <v>4.8412746101374462E-3</v>
      </c>
      <c r="I63" s="97">
        <f>I61+I62</f>
        <v>25815259.789999973</v>
      </c>
      <c r="J63" s="97">
        <f>J61+J62</f>
        <v>23399165.78999998</v>
      </c>
      <c r="K63" s="96">
        <f>(J63-I63)/I63</f>
        <v>-9.3591698075256718E-2</v>
      </c>
      <c r="L63" s="24"/>
      <c r="M63" s="30">
        <v>176.66999999999962</v>
      </c>
      <c r="N63" s="30">
        <v>1973.6295352917882</v>
      </c>
    </row>
    <row r="64" spans="1:14" x14ac:dyDescent="0.3">
      <c r="A64" s="6"/>
      <c r="B64" s="83" t="s">
        <v>66</v>
      </c>
      <c r="C64" s="26">
        <v>14143.659999999978</v>
      </c>
      <c r="D64" s="27">
        <v>14134.129999999979</v>
      </c>
      <c r="E64" s="82">
        <v>-6.7380013377010264E-4</v>
      </c>
      <c r="F64" s="26">
        <v>607.61452481182425</v>
      </c>
      <c r="G64" s="27">
        <v>563.35669687486961</v>
      </c>
      <c r="H64" s="28">
        <v>-7.2838660252009468E-2</v>
      </c>
      <c r="I64" s="76">
        <v>8593893.2499999925</v>
      </c>
      <c r="J64" s="27">
        <v>7962556.7899999889</v>
      </c>
      <c r="K64" s="28">
        <v>-7.3463381686758117E-2</v>
      </c>
      <c r="L64" s="24"/>
      <c r="M64" s="97">
        <f>M62+M63</f>
        <v>19535.579999999973</v>
      </c>
      <c r="N64" s="4">
        <f>(M62*N62+M63*N63)/M64</f>
        <v>1197.7717472427239</v>
      </c>
    </row>
    <row r="65" spans="1:19" x14ac:dyDescent="0.3">
      <c r="A65" s="6"/>
      <c r="B65" s="83" t="s">
        <v>67</v>
      </c>
      <c r="C65" s="26">
        <v>5286.2799999999943</v>
      </c>
      <c r="D65" s="27">
        <v>5220.849999999994</v>
      </c>
      <c r="E65" s="82">
        <v>-1.2377323940464818E-2</v>
      </c>
      <c r="F65" s="26">
        <v>891.6918721671949</v>
      </c>
      <c r="G65" s="27">
        <v>884.4118984456552</v>
      </c>
      <c r="H65" s="28">
        <v>-8.164225725021174E-3</v>
      </c>
      <c r="I65" s="76">
        <v>4713732.9099999936</v>
      </c>
      <c r="J65" s="27">
        <v>4617381.8599999938</v>
      </c>
      <c r="K65" s="28">
        <v>-2.0440498398964217E-2</v>
      </c>
      <c r="L65" s="24"/>
    </row>
    <row r="66" spans="1:19" x14ac:dyDescent="0.3">
      <c r="A66" s="6"/>
      <c r="B66" s="83" t="s">
        <v>11</v>
      </c>
      <c r="C66" s="26">
        <v>1491.9999999999984</v>
      </c>
      <c r="D66" s="27">
        <v>1537.9799999999966</v>
      </c>
      <c r="E66" s="82">
        <v>3.0817694369972018E-2</v>
      </c>
      <c r="F66" s="26">
        <v>3586.7572050938365</v>
      </c>
      <c r="G66" s="27">
        <v>4016.259899348504</v>
      </c>
      <c r="H66" s="28">
        <v>0.11974679904307345</v>
      </c>
      <c r="I66" s="76">
        <v>5351441.7499999981</v>
      </c>
      <c r="J66" s="27">
        <v>6176927.3999999985</v>
      </c>
      <c r="K66" s="28">
        <v>0.15425481366773741</v>
      </c>
      <c r="L66" s="24"/>
    </row>
    <row r="67" spans="1:19" ht="13.5" thickBot="1" x14ac:dyDescent="0.35">
      <c r="A67" s="6"/>
      <c r="B67" s="83" t="s">
        <v>12</v>
      </c>
      <c r="C67" s="26">
        <v>17748.899999999991</v>
      </c>
      <c r="D67" s="27">
        <v>20437.96</v>
      </c>
      <c r="E67" s="82">
        <v>0.15150572711548377</v>
      </c>
      <c r="F67" s="26">
        <v>291.33344827003356</v>
      </c>
      <c r="G67" s="27">
        <v>192.05159908327425</v>
      </c>
      <c r="H67" s="28">
        <v>-0.34078424491353332</v>
      </c>
      <c r="I67" s="76">
        <v>5170848.2399999956</v>
      </c>
      <c r="J67" s="27">
        <v>3925142.8999999957</v>
      </c>
      <c r="K67" s="28">
        <v>-0.24090928261317546</v>
      </c>
      <c r="L67" s="24"/>
    </row>
    <row r="68" spans="1:19" ht="13.5" thickBot="1" x14ac:dyDescent="0.35">
      <c r="A68" s="6"/>
      <c r="B68" s="84"/>
      <c r="C68" s="31">
        <v>306519.92999999953</v>
      </c>
      <c r="D68" s="31">
        <v>308253.90999999957</v>
      </c>
      <c r="E68" s="33">
        <v>5.6569894166426382E-3</v>
      </c>
      <c r="F68" s="31">
        <v>554.26451304487796</v>
      </c>
      <c r="G68" s="31">
        <v>477.99602574384244</v>
      </c>
      <c r="H68" s="33">
        <v>-0.13760304963789044</v>
      </c>
      <c r="I68" s="31">
        <v>169893119.7399998</v>
      </c>
      <c r="J68" s="31">
        <v>147344143.89999989</v>
      </c>
      <c r="K68" s="33">
        <v>-0.13272447921674702</v>
      </c>
      <c r="L68" s="24"/>
    </row>
    <row r="69" spans="1:19" ht="13.5" customHeight="1" thickBot="1" x14ac:dyDescent="0.35">
      <c r="B69" s="85"/>
      <c r="C69" s="86"/>
      <c r="D69" s="86"/>
      <c r="E69" s="87"/>
      <c r="F69" s="86"/>
      <c r="G69" s="86"/>
      <c r="H69" s="87"/>
      <c r="I69" s="86"/>
      <c r="J69" s="86"/>
      <c r="K69" s="87"/>
    </row>
    <row r="70" spans="1:19" ht="13.5" customHeight="1" x14ac:dyDescent="0.3">
      <c r="B70" s="7" t="s">
        <v>48</v>
      </c>
      <c r="C70" s="8"/>
      <c r="D70" s="8"/>
      <c r="E70" s="8"/>
      <c r="F70" s="8"/>
      <c r="G70" s="8"/>
      <c r="H70" s="8"/>
      <c r="I70" s="8"/>
      <c r="J70" s="8"/>
      <c r="K70" s="9"/>
    </row>
    <row r="71" spans="1:19" ht="13.5" customHeight="1" x14ac:dyDescent="0.3">
      <c r="B71" s="10"/>
      <c r="C71" s="11"/>
      <c r="D71" s="11"/>
      <c r="E71" s="11"/>
      <c r="F71" s="11"/>
      <c r="G71" s="11"/>
      <c r="H71" s="11"/>
      <c r="I71" s="11"/>
      <c r="J71" s="11"/>
      <c r="K71" s="12"/>
    </row>
    <row r="72" spans="1:19" ht="13.5" customHeight="1" x14ac:dyDescent="0.3">
      <c r="B72" s="968" t="s">
        <v>37</v>
      </c>
      <c r="C72" s="978" t="s">
        <v>49</v>
      </c>
      <c r="D72" s="979"/>
      <c r="E72" s="980"/>
      <c r="F72" s="978" t="s">
        <v>39</v>
      </c>
      <c r="G72" s="979"/>
      <c r="H72" s="980"/>
      <c r="I72" s="978" t="s">
        <v>50</v>
      </c>
      <c r="J72" s="979"/>
      <c r="K72" s="981"/>
    </row>
    <row r="73" spans="1:19" x14ac:dyDescent="0.3">
      <c r="B73" s="977"/>
      <c r="C73" s="13">
        <f>+$C$1</f>
        <v>42339</v>
      </c>
      <c r="D73" s="14">
        <f>+$D$1</f>
        <v>42705</v>
      </c>
      <c r="E73" s="15" t="str">
        <f>+$E$1</f>
        <v>2016 / 2015</v>
      </c>
      <c r="F73" s="13">
        <f>+$C$1</f>
        <v>42339</v>
      </c>
      <c r="G73" s="14">
        <f>+$D$1</f>
        <v>42705</v>
      </c>
      <c r="H73" s="15" t="str">
        <f>+$E$1</f>
        <v>2016 / 2015</v>
      </c>
      <c r="I73" s="13">
        <f>+$C$1</f>
        <v>42339</v>
      </c>
      <c r="J73" s="14">
        <f>+$D$1</f>
        <v>42705</v>
      </c>
      <c r="K73" s="15" t="str">
        <f>+$E$1</f>
        <v>2016 / 2015</v>
      </c>
    </row>
    <row r="74" spans="1:19" ht="13.5" thickBot="1" x14ac:dyDescent="0.35">
      <c r="B74" s="120"/>
      <c r="C74" s="86"/>
      <c r="D74" s="86"/>
      <c r="E74" s="87"/>
      <c r="F74" s="86"/>
      <c r="G74" s="86"/>
      <c r="H74" s="87"/>
      <c r="I74" s="86"/>
      <c r="J74" s="86"/>
      <c r="K74" s="121"/>
    </row>
    <row r="75" spans="1:19" ht="13.5" thickBot="1" x14ac:dyDescent="0.35">
      <c r="B75" s="144" t="s">
        <v>1</v>
      </c>
      <c r="C75" s="145"/>
      <c r="D75" s="145"/>
      <c r="E75" s="145"/>
      <c r="F75" s="145"/>
      <c r="G75" s="145"/>
      <c r="H75" s="145"/>
      <c r="I75" s="145"/>
      <c r="J75" s="145"/>
      <c r="K75" s="146"/>
      <c r="L75" s="24"/>
      <c r="M75" s="101" t="s">
        <v>69</v>
      </c>
      <c r="N75" s="77">
        <f>1564000/1000000</f>
        <v>1.5640000000000001</v>
      </c>
      <c r="O75" s="138">
        <v>0.19929529484741551</v>
      </c>
      <c r="P75" s="138">
        <v>0.20337655363216003</v>
      </c>
      <c r="Q75" s="139">
        <v>0.44320383870074803</v>
      </c>
      <c r="R75" s="77">
        <f>1083700/1000000</f>
        <v>1.0837000000000001</v>
      </c>
      <c r="S75" s="85"/>
    </row>
    <row r="76" spans="1:19" x14ac:dyDescent="0.3">
      <c r="B76" s="103" t="s">
        <v>69</v>
      </c>
      <c r="C76" s="124">
        <v>7.8671200000000008</v>
      </c>
      <c r="D76" s="125">
        <v>9.4350000000000005</v>
      </c>
      <c r="E76" s="23">
        <v>0.19929529484741551</v>
      </c>
      <c r="F76" s="21">
        <v>137750.53640976615</v>
      </c>
      <c r="G76" s="127">
        <v>165765.76576576577</v>
      </c>
      <c r="H76" s="128">
        <v>0.20337655363216003</v>
      </c>
      <c r="I76" s="21">
        <v>1083699.9999999995</v>
      </c>
      <c r="J76" s="127">
        <v>1564000</v>
      </c>
      <c r="K76" s="128">
        <v>0.44320383870074803</v>
      </c>
      <c r="L76" s="24"/>
      <c r="M76" s="101" t="s">
        <v>70</v>
      </c>
      <c r="N76" s="77">
        <f>7835000/1000000</f>
        <v>7.835</v>
      </c>
      <c r="O76" s="138">
        <v>0.19839599937181851</v>
      </c>
      <c r="P76" s="138">
        <v>0.1370650412446735</v>
      </c>
      <c r="Q76" s="140">
        <v>0.36265419645316854</v>
      </c>
      <c r="R76" s="77">
        <f>5749808/1000000</f>
        <v>5.7498079999999998</v>
      </c>
      <c r="S76" s="85"/>
    </row>
    <row r="77" spans="1:19" x14ac:dyDescent="0.3">
      <c r="B77" s="104" t="s">
        <v>70</v>
      </c>
      <c r="C77" s="88">
        <v>48.648359999999997</v>
      </c>
      <c r="D77" s="77">
        <v>58.3</v>
      </c>
      <c r="E77" s="28">
        <v>0.19839599937181851</v>
      </c>
      <c r="F77" s="26">
        <v>118191.19904555879</v>
      </c>
      <c r="G77" s="76">
        <v>134391.08061749573</v>
      </c>
      <c r="H77" s="28">
        <v>0.1370650412446735</v>
      </c>
      <c r="I77" s="26">
        <v>5749808</v>
      </c>
      <c r="J77" s="76">
        <v>7835000</v>
      </c>
      <c r="K77" s="28">
        <v>0.36265419645316854</v>
      </c>
      <c r="L77" s="24"/>
      <c r="M77" s="72" t="s">
        <v>78</v>
      </c>
      <c r="N77" s="99">
        <f>N75+N76</f>
        <v>9.3990000000000009</v>
      </c>
      <c r="O77" s="138">
        <v>0.19852118393049131</v>
      </c>
      <c r="P77" s="138">
        <v>0.14760446105371117</v>
      </c>
      <c r="Q77" s="141">
        <f>(P77-O77)/O77</f>
        <v>-0.25648004846982847</v>
      </c>
      <c r="R77" s="99">
        <f>R75+R76</f>
        <v>6.8335080000000001</v>
      </c>
      <c r="S77" s="85"/>
    </row>
    <row r="78" spans="1:19" x14ac:dyDescent="0.3">
      <c r="B78" s="112" t="s">
        <v>78</v>
      </c>
      <c r="C78" s="130">
        <f>C76+C77</f>
        <v>56.515479999999997</v>
      </c>
      <c r="D78" s="113">
        <f>D76+D77</f>
        <v>67.734999999999999</v>
      </c>
      <c r="E78" s="114">
        <f>(D78-C78)/C78</f>
        <v>0.19852118393049131</v>
      </c>
      <c r="F78" s="115">
        <f>C97</f>
        <v>120913.91597487981</v>
      </c>
      <c r="G78" s="117">
        <f>E97</f>
        <v>138761.34937624566</v>
      </c>
      <c r="H78" s="131">
        <f>(G78-F78)/F78</f>
        <v>0.14760446105371117</v>
      </c>
      <c r="I78" s="115">
        <f>I76+I77</f>
        <v>6833508</v>
      </c>
      <c r="J78" s="117">
        <f>J76+J77</f>
        <v>9399000</v>
      </c>
      <c r="K78" s="114">
        <f>(J78-I78)/I78</f>
        <v>0.37542825734600738</v>
      </c>
      <c r="L78" s="24"/>
      <c r="M78" s="72" t="s">
        <v>71</v>
      </c>
      <c r="N78" s="99">
        <f>1340000/1000000</f>
        <v>1.34</v>
      </c>
      <c r="O78" s="138">
        <v>-0.17280453257790368</v>
      </c>
      <c r="P78" s="138">
        <v>-5.0926670527967309E-2</v>
      </c>
      <c r="Q78" s="141">
        <v>-0.21493084360953663</v>
      </c>
      <c r="R78" s="99">
        <f>1706856/1000000</f>
        <v>1.7068559999999999</v>
      </c>
      <c r="S78" s="85"/>
    </row>
    <row r="79" spans="1:19" x14ac:dyDescent="0.3">
      <c r="B79" s="105" t="s">
        <v>71</v>
      </c>
      <c r="C79" s="107">
        <v>5.2949999999999999</v>
      </c>
      <c r="D79" s="106">
        <v>4.38</v>
      </c>
      <c r="E79" s="108">
        <f>(D79-C79)/C79</f>
        <v>-0.17280453257790368</v>
      </c>
      <c r="F79" s="109">
        <v>322352.40793201118</v>
      </c>
      <c r="G79" s="132">
        <v>305936.07305936073</v>
      </c>
      <c r="H79" s="108">
        <v>-5.0926670527967309E-2</v>
      </c>
      <c r="I79" s="109">
        <v>1706855.9999999991</v>
      </c>
      <c r="J79" s="132">
        <v>1340000</v>
      </c>
      <c r="K79" s="108">
        <v>-0.21493084360953663</v>
      </c>
      <c r="L79" s="24"/>
      <c r="M79" s="101" t="s">
        <v>72</v>
      </c>
      <c r="N79" s="77">
        <f>315000/1000000</f>
        <v>0.315</v>
      </c>
      <c r="O79" s="138">
        <v>1.5000000000000002</v>
      </c>
      <c r="P79" s="138">
        <v>3.984063745020386E-3</v>
      </c>
      <c r="Q79" s="140">
        <v>1.5099601593625509</v>
      </c>
      <c r="R79" s="77">
        <f>125500/1000000</f>
        <v>0.1255</v>
      </c>
      <c r="S79" s="85"/>
    </row>
    <row r="80" spans="1:19" s="5" customFormat="1" x14ac:dyDescent="0.3">
      <c r="A80" s="42"/>
      <c r="B80" s="104" t="s">
        <v>72</v>
      </c>
      <c r="C80" s="88">
        <v>0.18</v>
      </c>
      <c r="D80" s="77">
        <v>0.45</v>
      </c>
      <c r="E80" s="28">
        <v>1.5000000000000002</v>
      </c>
      <c r="F80" s="26">
        <v>697222.2222222219</v>
      </c>
      <c r="G80" s="76">
        <v>700000</v>
      </c>
      <c r="H80" s="28">
        <v>3.984063745020386E-3</v>
      </c>
      <c r="I80" s="26">
        <v>125499.99999999994</v>
      </c>
      <c r="J80" s="76">
        <v>315000</v>
      </c>
      <c r="K80" s="28">
        <v>1.5099601593625509</v>
      </c>
      <c r="L80" s="24"/>
      <c r="M80" s="101" t="s">
        <v>73</v>
      </c>
      <c r="N80" s="77">
        <f>18785000/1000000</f>
        <v>18.785</v>
      </c>
      <c r="O80" s="138">
        <v>-4.2850206360767147E-2</v>
      </c>
      <c r="P80" s="138">
        <v>-1.3627041635316757E-2</v>
      </c>
      <c r="Q80" s="140">
        <v>-5.5893326449923696E-2</v>
      </c>
      <c r="R80" s="77">
        <f>19897116/1000000</f>
        <v>19.897116</v>
      </c>
      <c r="S80" s="87"/>
    </row>
    <row r="81" spans="1:19" s="5" customFormat="1" x14ac:dyDescent="0.3">
      <c r="A81" s="42"/>
      <c r="B81" s="104" t="s">
        <v>73</v>
      </c>
      <c r="C81" s="88">
        <v>32.951999999999998</v>
      </c>
      <c r="D81" s="77">
        <v>31.54</v>
      </c>
      <c r="E81" s="28">
        <v>-4.2850206360767147E-2</v>
      </c>
      <c r="F81" s="26">
        <v>603821.19446467597</v>
      </c>
      <c r="G81" s="76">
        <v>595592.89790741913</v>
      </c>
      <c r="H81" s="28">
        <v>-1.3627041635316757E-2</v>
      </c>
      <c r="I81" s="26">
        <v>19897116</v>
      </c>
      <c r="J81" s="76">
        <v>18785000</v>
      </c>
      <c r="K81" s="28">
        <v>-5.5893326449923696E-2</v>
      </c>
      <c r="L81" s="24"/>
      <c r="M81" s="72" t="s">
        <v>79</v>
      </c>
      <c r="N81" s="99">
        <f>N79+N80</f>
        <v>19.100000000000001</v>
      </c>
      <c r="O81" s="138">
        <v>-3.4468187854642021E-2</v>
      </c>
      <c r="P81" s="138">
        <v>-1.2024985828425983E-2</v>
      </c>
      <c r="Q81" s="141">
        <f>(P81-O81)/O81</f>
        <v>-0.65112799433676893</v>
      </c>
      <c r="R81" s="99">
        <f>R79+R80</f>
        <v>20.022615999999999</v>
      </c>
      <c r="S81" s="87"/>
    </row>
    <row r="82" spans="1:19" s="5" customFormat="1" x14ac:dyDescent="0.3">
      <c r="A82" s="42"/>
      <c r="B82" s="112" t="s">
        <v>79</v>
      </c>
      <c r="C82" s="130">
        <f>C80+C81</f>
        <v>33.131999999999998</v>
      </c>
      <c r="D82" s="113">
        <f>D80+D81</f>
        <v>31.99</v>
      </c>
      <c r="E82" s="114">
        <f>(D82-C82)/C82</f>
        <v>-3.4468187854642021E-2</v>
      </c>
      <c r="F82" s="115">
        <f>C101</f>
        <v>604328.62489436194</v>
      </c>
      <c r="G82" s="117">
        <f>E101</f>
        <v>597061.58174429508</v>
      </c>
      <c r="H82" s="131">
        <f>(G82-F82)/F82</f>
        <v>-1.2024985828425983E-2</v>
      </c>
      <c r="I82" s="115">
        <f>I80+I81</f>
        <v>20022616</v>
      </c>
      <c r="J82" s="117">
        <f>J80+J81</f>
        <v>19100000</v>
      </c>
      <c r="K82" s="114">
        <f>(J82-I82)/I82</f>
        <v>-4.6078694212584412E-2</v>
      </c>
      <c r="L82" s="24"/>
      <c r="M82" s="101" t="s">
        <v>74</v>
      </c>
      <c r="N82" s="77">
        <f>350000/1000000</f>
        <v>0.35</v>
      </c>
      <c r="O82" s="138">
        <v>-0.37445395771448536</v>
      </c>
      <c r="P82" s="138">
        <v>9.865937215131319E-3</v>
      </c>
      <c r="Q82" s="139">
        <v>-0.36828235973612267</v>
      </c>
      <c r="R82" s="100">
        <f>554045/1000000</f>
        <v>0.55404500000000001</v>
      </c>
      <c r="S82" s="87"/>
    </row>
    <row r="83" spans="1:19" s="5" customFormat="1" x14ac:dyDescent="0.3">
      <c r="A83" s="42"/>
      <c r="B83" s="104" t="s">
        <v>74</v>
      </c>
      <c r="C83" s="90">
        <v>5.7229999999999999</v>
      </c>
      <c r="D83" s="77">
        <v>3.58</v>
      </c>
      <c r="E83" s="89">
        <v>-0.37445395771448536</v>
      </c>
      <c r="F83" s="91">
        <v>96810.239384937988</v>
      </c>
      <c r="G83" s="76">
        <v>97765.363128491619</v>
      </c>
      <c r="H83" s="89">
        <v>9.865937215131319E-3</v>
      </c>
      <c r="I83" s="91">
        <v>554045.00000000012</v>
      </c>
      <c r="J83" s="76">
        <v>350000</v>
      </c>
      <c r="K83" s="89">
        <v>-0.36828235973612267</v>
      </c>
      <c r="L83" s="24"/>
      <c r="M83" s="101" t="s">
        <v>75</v>
      </c>
      <c r="N83" s="77">
        <f>6362000/1000000</f>
        <v>6.3620000000000001</v>
      </c>
      <c r="O83" s="138">
        <v>0.38179242264978747</v>
      </c>
      <c r="P83" s="138">
        <v>5.1407937828009731E-2</v>
      </c>
      <c r="Q83" s="140">
        <v>0.45282752160458256</v>
      </c>
      <c r="R83" s="77">
        <f>4379047.00000001/1000000</f>
        <v>4.3790470000000106</v>
      </c>
      <c r="S83" s="87"/>
    </row>
    <row r="84" spans="1:19" s="5" customFormat="1" x14ac:dyDescent="0.3">
      <c r="A84" s="42"/>
      <c r="B84" s="104" t="s">
        <v>75</v>
      </c>
      <c r="C84" s="88">
        <v>43.762</v>
      </c>
      <c r="D84" s="77">
        <v>60.47</v>
      </c>
      <c r="E84" s="28">
        <v>0.38179242264978747</v>
      </c>
      <c r="F84" s="26">
        <v>100065.05644166199</v>
      </c>
      <c r="G84" s="76">
        <v>105209.19464197123</v>
      </c>
      <c r="H84" s="28">
        <v>5.1407937828009731E-2</v>
      </c>
      <c r="I84" s="26">
        <v>4379047.0000000121</v>
      </c>
      <c r="J84" s="76">
        <v>6362000</v>
      </c>
      <c r="K84" s="28">
        <v>0.45282752160458256</v>
      </c>
      <c r="L84" s="24"/>
      <c r="M84" s="72" t="s">
        <v>80</v>
      </c>
      <c r="N84" s="99">
        <f>N82+N83</f>
        <v>6.7119999999999997</v>
      </c>
      <c r="O84" s="138">
        <v>0.29433161564110333</v>
      </c>
      <c r="P84" s="138">
        <v>5.120440814930604E-2</v>
      </c>
      <c r="Q84" s="141">
        <f>(P84-O84)/O84</f>
        <v>-0.82603157313639475</v>
      </c>
      <c r="R84" s="99">
        <f>R82+R83</f>
        <v>4.9330920000000109</v>
      </c>
      <c r="S84" s="87"/>
    </row>
    <row r="85" spans="1:19" s="5" customFormat="1" x14ac:dyDescent="0.3">
      <c r="A85" s="42"/>
      <c r="B85" s="112" t="s">
        <v>80</v>
      </c>
      <c r="C85" s="130">
        <f>C83+C84</f>
        <v>49.484999999999999</v>
      </c>
      <c r="D85" s="113">
        <f>D83+D84</f>
        <v>64.05</v>
      </c>
      <c r="E85" s="114">
        <f>(D85-C85)/C85</f>
        <v>0.29433161564110333</v>
      </c>
      <c r="F85" s="115">
        <f>C105</f>
        <v>99688.632919066629</v>
      </c>
      <c r="G85" s="117">
        <f>E105</f>
        <v>104793.13036690086</v>
      </c>
      <c r="H85" s="131">
        <f>(G85-F85)/F85</f>
        <v>5.120440814930604E-2</v>
      </c>
      <c r="I85" s="115">
        <f>I83+I84</f>
        <v>4933092.0000000121</v>
      </c>
      <c r="J85" s="117">
        <f>J83+J84</f>
        <v>6712000</v>
      </c>
      <c r="K85" s="114">
        <f>(J85-I85)/I85</f>
        <v>0.36060709996894108</v>
      </c>
      <c r="L85" s="24"/>
      <c r="M85" s="101" t="s">
        <v>76</v>
      </c>
      <c r="N85" s="77">
        <f>1479000/1000000</f>
        <v>1.4790000000000001</v>
      </c>
      <c r="O85" s="138">
        <v>-9.1668058106528547E-2</v>
      </c>
      <c r="P85" s="138">
        <v>5.6762315031152158E-2</v>
      </c>
      <c r="Q85" s="140">
        <v>-4.0109034267913207E-2</v>
      </c>
      <c r="R85" s="77">
        <f>1540800/1000000</f>
        <v>1.5407999999999999</v>
      </c>
      <c r="S85" s="87"/>
    </row>
    <row r="86" spans="1:19" s="5" customFormat="1" x14ac:dyDescent="0.3">
      <c r="A86" s="42"/>
      <c r="B86" s="104" t="s">
        <v>76</v>
      </c>
      <c r="C86" s="88">
        <v>5.9889999999999999</v>
      </c>
      <c r="D86" s="77">
        <v>5.44</v>
      </c>
      <c r="E86" s="28">
        <v>-9.1668058106528547E-2</v>
      </c>
      <c r="F86" s="26">
        <v>257271.66471865098</v>
      </c>
      <c r="G86" s="76">
        <v>271875</v>
      </c>
      <c r="H86" s="28">
        <v>5.6762315031152158E-2</v>
      </c>
      <c r="I86" s="26">
        <v>1540800.0000000007</v>
      </c>
      <c r="J86" s="76">
        <v>1479000</v>
      </c>
      <c r="K86" s="28">
        <v>-4.0109034267913207E-2</v>
      </c>
      <c r="L86" s="24"/>
      <c r="M86" s="101" t="s">
        <v>77</v>
      </c>
      <c r="N86" s="77">
        <f>1690000/1000000</f>
        <v>1.69</v>
      </c>
      <c r="O86" s="138">
        <v>0.19713427316847695</v>
      </c>
      <c r="P86" s="138">
        <v>3.2795579562306899E-3</v>
      </c>
      <c r="Q86" s="140">
        <v>0.201060344398723</v>
      </c>
      <c r="R86" s="77">
        <f>1407090/1000000</f>
        <v>1.40709</v>
      </c>
      <c r="S86" s="87"/>
    </row>
    <row r="87" spans="1:19" x14ac:dyDescent="0.3">
      <c r="B87" s="104" t="s">
        <v>77</v>
      </c>
      <c r="C87" s="88">
        <v>4.327</v>
      </c>
      <c r="D87" s="77">
        <v>5.18</v>
      </c>
      <c r="E87" s="28">
        <v>0.19713427316847695</v>
      </c>
      <c r="F87" s="26">
        <v>325188.35220707202</v>
      </c>
      <c r="G87" s="76">
        <v>326254.82625482627</v>
      </c>
      <c r="H87" s="28">
        <v>3.2795579562306899E-3</v>
      </c>
      <c r="I87" s="26">
        <v>1407090.0000000007</v>
      </c>
      <c r="J87" s="76">
        <v>1690000</v>
      </c>
      <c r="K87" s="28">
        <v>0.201060344398723</v>
      </c>
      <c r="L87" s="24"/>
      <c r="M87" s="102" t="s">
        <v>81</v>
      </c>
      <c r="N87" s="99">
        <f>N85+N86</f>
        <v>3.169</v>
      </c>
      <c r="O87" s="138">
        <v>2.9468786351299153E-2</v>
      </c>
      <c r="P87" s="138">
        <v>4.4233885593384169E-2</v>
      </c>
      <c r="Q87" s="141">
        <f>(P87-O87)/O87</f>
        <v>0.50104198612285522</v>
      </c>
      <c r="R87" s="99">
        <f>R85+R86</f>
        <v>2.9478900000000001</v>
      </c>
      <c r="S87" s="85"/>
    </row>
    <row r="88" spans="1:19" s="5" customFormat="1" ht="13.5" thickBot="1" x14ac:dyDescent="0.35">
      <c r="A88" s="42"/>
      <c r="B88" s="122" t="s">
        <v>81</v>
      </c>
      <c r="C88" s="126">
        <f>C86+C87</f>
        <v>10.315999999999999</v>
      </c>
      <c r="D88" s="119">
        <f>D86+D87</f>
        <v>10.620000000000001</v>
      </c>
      <c r="E88" s="96">
        <f>(D88-C88)/C88</f>
        <v>2.9468786351299153E-2</v>
      </c>
      <c r="F88" s="137">
        <f>C110</f>
        <v>285759.01512214052</v>
      </c>
      <c r="G88" s="118">
        <f>E110</f>
        <v>298399.24670433142</v>
      </c>
      <c r="H88" s="129">
        <f>(G88-F88)/F88</f>
        <v>4.4233885593384169E-2</v>
      </c>
      <c r="I88" s="97">
        <f>I86+I87</f>
        <v>2947890.0000000014</v>
      </c>
      <c r="J88" s="116">
        <f>J86+J87</f>
        <v>3169000</v>
      </c>
      <c r="K88" s="96">
        <f>(J88-I88)/I88</f>
        <v>7.5006190868722539E-2</v>
      </c>
      <c r="L88" s="6"/>
      <c r="M88" s="87"/>
      <c r="N88" s="99"/>
      <c r="O88" s="138"/>
      <c r="P88" s="138"/>
      <c r="Q88" s="141"/>
      <c r="R88" s="99"/>
      <c r="S88" s="87"/>
    </row>
    <row r="89" spans="1:19" s="5" customFormat="1" ht="13.5" thickBot="1" x14ac:dyDescent="0.35">
      <c r="A89" s="42"/>
      <c r="B89" s="123"/>
      <c r="C89" s="133">
        <v>154.74348000000001</v>
      </c>
      <c r="D89" s="134">
        <v>178.77499999999998</v>
      </c>
      <c r="E89" s="93">
        <v>0.15529907948302552</v>
      </c>
      <c r="F89" s="135">
        <v>235512.10041288985</v>
      </c>
      <c r="G89" s="136">
        <v>222178.71626345968</v>
      </c>
      <c r="H89" s="93">
        <v>-5.6614433509168526E-2</v>
      </c>
      <c r="I89" s="135">
        <v>36443962.000000015</v>
      </c>
      <c r="J89" s="136">
        <v>39720000</v>
      </c>
      <c r="K89" s="93">
        <v>8.9892476564430168E-2</v>
      </c>
      <c r="L89" s="24"/>
      <c r="M89" s="87" t="s">
        <v>23</v>
      </c>
      <c r="N89" s="87">
        <v>9.3990000000000009</v>
      </c>
      <c r="O89" s="138">
        <v>0.19852118393049131</v>
      </c>
      <c r="P89" s="138">
        <v>0.14760446105371117</v>
      </c>
      <c r="Q89" s="138">
        <v>-0.25648004846982847</v>
      </c>
      <c r="R89" s="87">
        <v>6.8335080000000001</v>
      </c>
      <c r="S89" s="87"/>
    </row>
    <row r="90" spans="1:19" ht="13.5" thickBot="1" x14ac:dyDescent="0.35">
      <c r="B90" s="75"/>
      <c r="C90" s="76"/>
      <c r="D90" s="76"/>
      <c r="E90" s="77"/>
      <c r="F90" s="76"/>
      <c r="G90" s="76"/>
      <c r="H90" s="111"/>
      <c r="I90" s="76"/>
      <c r="J90" s="76"/>
      <c r="K90" s="77"/>
      <c r="L90" s="24"/>
      <c r="M90" s="6" t="s">
        <v>71</v>
      </c>
      <c r="N90" s="5">
        <v>1.34</v>
      </c>
      <c r="O90" s="95">
        <v>-0.17280453257790368</v>
      </c>
      <c r="P90" s="95">
        <v>-5.0926670527967309E-2</v>
      </c>
      <c r="Q90" s="95">
        <v>-0.21493084360953663</v>
      </c>
      <c r="R90" s="5">
        <v>1.7068559999999999</v>
      </c>
    </row>
    <row r="91" spans="1:19" ht="13.5" thickBot="1" x14ac:dyDescent="0.35">
      <c r="B91" s="92" t="s">
        <v>3</v>
      </c>
      <c r="C91" s="31">
        <v>975604.82347999944</v>
      </c>
      <c r="D91" s="31">
        <v>979886.75499999954</v>
      </c>
      <c r="E91" s="33">
        <v>4.3890019985001463E-3</v>
      </c>
      <c r="F91" s="31">
        <v>523.11334347053116</v>
      </c>
      <c r="G91" s="31">
        <v>511.80980719340579</v>
      </c>
      <c r="H91" s="93">
        <v>-2.160819718750329E-2</v>
      </c>
      <c r="I91" s="31">
        <v>510351901.11659986</v>
      </c>
      <c r="J91" s="31">
        <v>501515651.1479218</v>
      </c>
      <c r="K91" s="33">
        <v>-1.7314033609643092E-2</v>
      </c>
      <c r="L91" s="24"/>
      <c r="M91" s="6" t="s">
        <v>22</v>
      </c>
      <c r="N91" s="5">
        <v>19.100000000000001</v>
      </c>
      <c r="O91" s="95">
        <v>-3.4468187854642021E-2</v>
      </c>
      <c r="P91" s="95">
        <v>-1.2024985828425983E-2</v>
      </c>
      <c r="Q91" s="95">
        <v>-0.65112799433676893</v>
      </c>
      <c r="R91" s="5">
        <v>20.022615999999999</v>
      </c>
    </row>
    <row r="92" spans="1:19" x14ac:dyDescent="0.3">
      <c r="K92" s="94"/>
      <c r="L92" s="24"/>
      <c r="M92" s="6" t="s">
        <v>24</v>
      </c>
      <c r="N92" s="5">
        <v>6.7119999999999997</v>
      </c>
      <c r="O92" s="95">
        <v>0.29433161564110333</v>
      </c>
      <c r="P92" s="95">
        <v>5.120440814930604E-2</v>
      </c>
      <c r="Q92" s="95">
        <v>-0.82603157313639475</v>
      </c>
      <c r="R92" s="5">
        <v>4.9330920000000109</v>
      </c>
    </row>
    <row r="93" spans="1:19" x14ac:dyDescent="0.3">
      <c r="B93" s="6">
        <v>2015</v>
      </c>
      <c r="D93" s="110">
        <v>2016</v>
      </c>
      <c r="L93" s="24"/>
      <c r="M93" s="6" t="s">
        <v>82</v>
      </c>
      <c r="N93" s="5">
        <v>3.169</v>
      </c>
      <c r="O93" s="95">
        <v>2.9468786351299153E-2</v>
      </c>
      <c r="P93" s="95">
        <v>4.4233885593384169E-2</v>
      </c>
      <c r="Q93" s="95">
        <v>0.50104198612285522</v>
      </c>
      <c r="R93" s="5">
        <v>2.9478900000000001</v>
      </c>
    </row>
    <row r="94" spans="1:19" ht="13.5" thickBot="1" x14ac:dyDescent="0.35">
      <c r="I94" s="6"/>
      <c r="L94" s="24"/>
    </row>
    <row r="95" spans="1:19" x14ac:dyDescent="0.3">
      <c r="B95" s="124">
        <v>7.8671200000000008</v>
      </c>
      <c r="C95" s="21">
        <v>137750.53640976615</v>
      </c>
      <c r="D95" s="125">
        <v>9.4350000000000005</v>
      </c>
      <c r="E95" s="127">
        <v>165765.76576576577</v>
      </c>
      <c r="F95" s="6"/>
      <c r="G95" s="6"/>
      <c r="H95" s="6"/>
      <c r="J95" s="6"/>
      <c r="K95" s="6"/>
    </row>
    <row r="96" spans="1:19" x14ac:dyDescent="0.3">
      <c r="B96" s="88">
        <v>48.648359999999997</v>
      </c>
      <c r="C96" s="26">
        <v>118191.19904555879</v>
      </c>
      <c r="D96" s="77">
        <v>58.3</v>
      </c>
      <c r="E96" s="76">
        <v>134391.08061749573</v>
      </c>
      <c r="F96" s="6"/>
      <c r="G96" s="6"/>
      <c r="H96" s="6"/>
      <c r="I96" s="6"/>
      <c r="J96" s="6"/>
      <c r="K96" s="6"/>
    </row>
    <row r="97" spans="1:11" x14ac:dyDescent="0.3">
      <c r="B97" s="130">
        <f>B95+B96</f>
        <v>56.515479999999997</v>
      </c>
      <c r="C97" s="4">
        <f>(B95*C95+B96*C96)/B97</f>
        <v>120913.91597487981</v>
      </c>
      <c r="D97" s="113">
        <f>D95+D96</f>
        <v>67.734999999999999</v>
      </c>
      <c r="E97" s="4">
        <f>(D95*E95+D96*E96)/D97</f>
        <v>138761.34937624566</v>
      </c>
      <c r="H97" s="4"/>
      <c r="J97" s="6"/>
      <c r="K97" s="6"/>
    </row>
    <row r="98" spans="1:11" x14ac:dyDescent="0.3">
      <c r="C98" s="6"/>
      <c r="D98" s="106"/>
      <c r="E98" s="6"/>
      <c r="H98" s="4"/>
      <c r="I98" s="5"/>
      <c r="J98" s="6"/>
      <c r="K98" s="6"/>
    </row>
    <row r="99" spans="1:11" x14ac:dyDescent="0.3">
      <c r="B99" s="88">
        <v>0.18</v>
      </c>
      <c r="C99" s="26">
        <v>697222.2222222219</v>
      </c>
      <c r="D99" s="77">
        <v>0.45</v>
      </c>
      <c r="E99" s="76">
        <v>700000</v>
      </c>
      <c r="H99" s="6"/>
      <c r="I99" s="5"/>
      <c r="J99" s="6"/>
      <c r="K99" s="6"/>
    </row>
    <row r="100" spans="1:11" x14ac:dyDescent="0.3">
      <c r="B100" s="88">
        <v>32.951999999999998</v>
      </c>
      <c r="C100" s="26">
        <v>603821.19446467597</v>
      </c>
      <c r="D100" s="77">
        <v>31.54</v>
      </c>
      <c r="E100" s="76">
        <v>595592.89790741913</v>
      </c>
      <c r="H100" s="95"/>
      <c r="I100" s="5"/>
      <c r="J100" s="6"/>
      <c r="K100" s="6"/>
    </row>
    <row r="101" spans="1:11" x14ac:dyDescent="0.3">
      <c r="B101" s="130">
        <f>B99+B100</f>
        <v>33.131999999999998</v>
      </c>
      <c r="C101" s="4">
        <f>(B99*C99+B100*C100)/B101</f>
        <v>604328.62489436194</v>
      </c>
      <c r="D101" s="113">
        <f>D99+D100</f>
        <v>31.99</v>
      </c>
      <c r="E101" s="4">
        <f>(D99*E99+D100*E100)/D101</f>
        <v>597061.58174429508</v>
      </c>
      <c r="F101" s="6"/>
      <c r="G101" s="6"/>
      <c r="H101" s="6"/>
      <c r="I101" s="5"/>
      <c r="J101" s="6"/>
      <c r="K101" s="6"/>
    </row>
    <row r="102" spans="1:11" x14ac:dyDescent="0.3">
      <c r="C102" s="6"/>
      <c r="D102" s="6"/>
      <c r="E102" s="6"/>
      <c r="F102" s="6"/>
      <c r="G102" s="6"/>
      <c r="H102" s="6"/>
      <c r="I102" s="5"/>
      <c r="J102" s="6"/>
      <c r="K102" s="6"/>
    </row>
    <row r="103" spans="1:11" x14ac:dyDescent="0.3">
      <c r="B103" s="90">
        <v>5.7229999999999999</v>
      </c>
      <c r="C103" s="91">
        <v>96810.239384937988</v>
      </c>
      <c r="D103" s="77">
        <v>3.58</v>
      </c>
      <c r="E103" s="76">
        <v>97765.363128491619</v>
      </c>
      <c r="F103" s="6"/>
      <c r="G103" s="6"/>
      <c r="H103" s="6"/>
      <c r="I103" s="5"/>
      <c r="J103" s="6"/>
      <c r="K103" s="6"/>
    </row>
    <row r="104" spans="1:11" x14ac:dyDescent="0.3">
      <c r="B104" s="88">
        <v>43.762</v>
      </c>
      <c r="C104" s="26">
        <v>100065.05644166199</v>
      </c>
      <c r="D104" s="77">
        <v>60.47</v>
      </c>
      <c r="E104" s="76">
        <v>105209.19464197123</v>
      </c>
      <c r="F104" s="6"/>
      <c r="G104" s="6"/>
      <c r="H104" s="6"/>
      <c r="I104" s="5"/>
      <c r="J104" s="6"/>
      <c r="K104" s="6"/>
    </row>
    <row r="105" spans="1:11" x14ac:dyDescent="0.3">
      <c r="A105" s="6"/>
      <c r="B105" s="130">
        <f>B103+B104</f>
        <v>49.484999999999999</v>
      </c>
      <c r="C105" s="4">
        <f>(B103*C103+B104*C104)/B105</f>
        <v>99688.632919066629</v>
      </c>
      <c r="D105" s="113">
        <f>D103+D104</f>
        <v>64.05</v>
      </c>
      <c r="E105" s="4">
        <f>(D103*E103+D104*E104)/D105</f>
        <v>104793.13036690086</v>
      </c>
      <c r="F105" s="6"/>
      <c r="G105" s="6"/>
      <c r="H105" s="6"/>
      <c r="I105" s="5"/>
      <c r="J105" s="6"/>
      <c r="K105" s="6"/>
    </row>
    <row r="106" spans="1:11" x14ac:dyDescent="0.3">
      <c r="B106" s="4"/>
      <c r="C106" s="5"/>
      <c r="D106" s="6"/>
      <c r="E106" s="6"/>
    </row>
    <row r="107" spans="1:11" x14ac:dyDescent="0.3">
      <c r="C107" s="6"/>
      <c r="D107" s="6"/>
      <c r="E107" s="6"/>
    </row>
    <row r="108" spans="1:11" x14ac:dyDescent="0.3">
      <c r="B108" s="77">
        <v>5.9889999999999999</v>
      </c>
      <c r="C108" s="76">
        <v>257271.66471865098</v>
      </c>
      <c r="D108" s="77">
        <v>5.44</v>
      </c>
      <c r="E108" s="76">
        <v>271875</v>
      </c>
    </row>
    <row r="109" spans="1:11" x14ac:dyDescent="0.3">
      <c r="B109" s="77">
        <v>4.327</v>
      </c>
      <c r="C109" s="76">
        <v>325188.35220707202</v>
      </c>
      <c r="D109" s="77">
        <v>5.18</v>
      </c>
      <c r="E109" s="76">
        <v>326254.82625482627</v>
      </c>
    </row>
    <row r="110" spans="1:11" x14ac:dyDescent="0.3">
      <c r="B110" s="119">
        <f>B108+B109</f>
        <v>10.315999999999999</v>
      </c>
      <c r="C110" s="4">
        <f>(B108*C108+B109*C109)/B110</f>
        <v>285759.01512214052</v>
      </c>
      <c r="D110" s="119">
        <f>D108+D109</f>
        <v>10.620000000000001</v>
      </c>
      <c r="E110" s="4">
        <f>(D108*E108+D109*E109)/D110</f>
        <v>298399.24670433142</v>
      </c>
    </row>
    <row r="111" spans="1:11" x14ac:dyDescent="0.3">
      <c r="B111" s="4"/>
      <c r="C111" s="5"/>
      <c r="D111" s="6"/>
      <c r="E111" s="6"/>
    </row>
    <row r="112" spans="1:11" x14ac:dyDescent="0.3">
      <c r="C112" s="5"/>
      <c r="D112" s="6"/>
      <c r="E112" s="6"/>
    </row>
    <row r="113" spans="4:5" x14ac:dyDescent="0.3">
      <c r="D113" s="6"/>
      <c r="E113" s="6"/>
    </row>
    <row r="114" spans="4:5" x14ac:dyDescent="0.3">
      <c r="D114" s="6"/>
      <c r="E114" s="6"/>
    </row>
    <row r="115" spans="4:5" x14ac:dyDescent="0.3">
      <c r="D115" s="6"/>
      <c r="E115" s="6"/>
    </row>
  </sheetData>
  <mergeCells count="17">
    <mergeCell ref="I19:K19"/>
    <mergeCell ref="B19:B20"/>
    <mergeCell ref="C19:E19"/>
    <mergeCell ref="F19:H19"/>
    <mergeCell ref="B3:K4"/>
    <mergeCell ref="B5:B6"/>
    <mergeCell ref="C5:E5"/>
    <mergeCell ref="F5:H5"/>
    <mergeCell ref="I5:K5"/>
    <mergeCell ref="B72:B73"/>
    <mergeCell ref="C72:E72"/>
    <mergeCell ref="F72:H72"/>
    <mergeCell ref="I72:K72"/>
    <mergeCell ref="B34:B35"/>
    <mergeCell ref="C34:E34"/>
    <mergeCell ref="F34:H34"/>
    <mergeCell ref="I34:K3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238"/>
  <sheetViews>
    <sheetView topLeftCell="B1" zoomScaleNormal="100" workbookViewId="0">
      <selection sqref="A1:IV65536"/>
    </sheetView>
  </sheetViews>
  <sheetFormatPr baseColWidth="10" defaultColWidth="11" defaultRowHeight="10" x14ac:dyDescent="0.2"/>
  <cols>
    <col min="1" max="1" width="10.25" style="235" bestFit="1" customWidth="1"/>
    <col min="2" max="2" width="28" style="235" customWidth="1"/>
    <col min="3" max="14" width="6.58203125" style="235" customWidth="1"/>
    <col min="15" max="15" width="9.08203125" style="235" customWidth="1"/>
    <col min="16" max="16384" width="11" style="235"/>
  </cols>
  <sheetData>
    <row r="2" spans="1:15" ht="10.5" thickBot="1" x14ac:dyDescent="0.25"/>
    <row r="3" spans="1:15" ht="15.5" x14ac:dyDescent="0.35">
      <c r="A3" s="236"/>
      <c r="B3" s="237" t="s">
        <v>308</v>
      </c>
      <c r="C3" s="984" t="s">
        <v>309</v>
      </c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6"/>
    </row>
    <row r="4" spans="1:15" x14ac:dyDescent="0.2">
      <c r="A4" s="236"/>
      <c r="B4" s="238"/>
      <c r="C4" s="987" t="s">
        <v>310</v>
      </c>
      <c r="D4" s="987" t="s">
        <v>311</v>
      </c>
      <c r="E4" s="987" t="s">
        <v>312</v>
      </c>
      <c r="F4" s="987" t="s">
        <v>313</v>
      </c>
      <c r="G4" s="987" t="s">
        <v>314</v>
      </c>
      <c r="H4" s="987" t="s">
        <v>315</v>
      </c>
      <c r="I4" s="987" t="s">
        <v>316</v>
      </c>
      <c r="J4" s="987" t="s">
        <v>317</v>
      </c>
      <c r="K4" s="987" t="s">
        <v>318</v>
      </c>
      <c r="L4" s="987" t="s">
        <v>319</v>
      </c>
      <c r="M4" s="987" t="s">
        <v>320</v>
      </c>
      <c r="N4" s="987" t="s">
        <v>321</v>
      </c>
    </row>
    <row r="5" spans="1:15" ht="12" thickBot="1" x14ac:dyDescent="0.3">
      <c r="A5" s="236"/>
      <c r="B5" s="239" t="s">
        <v>322</v>
      </c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8"/>
      <c r="N5" s="988"/>
    </row>
    <row r="6" spans="1:15" x14ac:dyDescent="0.2">
      <c r="B6" s="240" t="s">
        <v>323</v>
      </c>
      <c r="C6" s="241">
        <v>109</v>
      </c>
      <c r="D6" s="241">
        <v>109</v>
      </c>
      <c r="E6" s="241">
        <v>108</v>
      </c>
      <c r="F6" s="241">
        <v>108</v>
      </c>
      <c r="G6" s="241">
        <v>106</v>
      </c>
      <c r="H6" s="241">
        <v>106</v>
      </c>
      <c r="I6" s="241">
        <v>105</v>
      </c>
      <c r="J6" s="241">
        <v>105</v>
      </c>
      <c r="K6" s="241">
        <v>104</v>
      </c>
      <c r="L6" s="241">
        <v>102</v>
      </c>
      <c r="M6" s="241">
        <v>102</v>
      </c>
      <c r="N6" s="242">
        <v>81</v>
      </c>
    </row>
    <row r="7" spans="1:15" x14ac:dyDescent="0.2">
      <c r="A7" s="236"/>
      <c r="B7" s="243" t="s">
        <v>324</v>
      </c>
      <c r="C7" s="244">
        <v>0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5">
        <v>15</v>
      </c>
    </row>
    <row r="8" spans="1:15" ht="10.5" thickBot="1" x14ac:dyDescent="0.25">
      <c r="A8" s="236"/>
      <c r="B8" s="243" t="s">
        <v>325</v>
      </c>
      <c r="C8" s="246">
        <v>5</v>
      </c>
      <c r="D8" s="246">
        <v>7</v>
      </c>
      <c r="E8" s="246">
        <v>7</v>
      </c>
      <c r="F8" s="246">
        <v>7</v>
      </c>
      <c r="G8" s="246">
        <v>7</v>
      </c>
      <c r="H8" s="246">
        <v>7</v>
      </c>
      <c r="I8" s="246">
        <v>7</v>
      </c>
      <c r="J8" s="246">
        <v>7</v>
      </c>
      <c r="K8" s="246">
        <v>6</v>
      </c>
      <c r="L8" s="246">
        <v>5</v>
      </c>
      <c r="M8" s="246">
        <v>5</v>
      </c>
      <c r="N8" s="247">
        <v>3</v>
      </c>
    </row>
    <row r="9" spans="1:15" ht="11" thickBot="1" x14ac:dyDescent="0.3">
      <c r="A9" s="236"/>
      <c r="B9" s="248" t="s">
        <v>326</v>
      </c>
      <c r="C9" s="249">
        <v>114</v>
      </c>
      <c r="D9" s="249">
        <v>116</v>
      </c>
      <c r="E9" s="249">
        <v>115</v>
      </c>
      <c r="F9" s="249">
        <v>115</v>
      </c>
      <c r="G9" s="249">
        <v>113</v>
      </c>
      <c r="H9" s="249">
        <v>113</v>
      </c>
      <c r="I9" s="249">
        <v>112</v>
      </c>
      <c r="J9" s="249">
        <v>112</v>
      </c>
      <c r="K9" s="249">
        <v>110</v>
      </c>
      <c r="L9" s="249">
        <v>107</v>
      </c>
      <c r="M9" s="249">
        <v>107</v>
      </c>
      <c r="N9" s="250">
        <v>86.25</v>
      </c>
      <c r="O9" s="251">
        <v>110.02083333333333</v>
      </c>
    </row>
    <row r="10" spans="1:15" x14ac:dyDescent="0.2">
      <c r="B10" s="252" t="s">
        <v>327</v>
      </c>
      <c r="C10" s="241">
        <v>27</v>
      </c>
      <c r="D10" s="241">
        <v>27</v>
      </c>
      <c r="E10" s="241">
        <v>27</v>
      </c>
      <c r="F10" s="241">
        <v>27</v>
      </c>
      <c r="G10" s="241">
        <v>27</v>
      </c>
      <c r="H10" s="241">
        <v>27</v>
      </c>
      <c r="I10" s="241">
        <v>27</v>
      </c>
      <c r="J10" s="241">
        <v>27</v>
      </c>
      <c r="K10" s="241">
        <v>27</v>
      </c>
      <c r="L10" s="241">
        <v>27</v>
      </c>
      <c r="M10" s="241">
        <v>27</v>
      </c>
      <c r="N10" s="242">
        <v>27</v>
      </c>
    </row>
    <row r="11" spans="1:15" x14ac:dyDescent="0.2">
      <c r="B11" s="252" t="s">
        <v>328</v>
      </c>
      <c r="C11" s="244">
        <v>1</v>
      </c>
      <c r="D11" s="244">
        <v>1</v>
      </c>
      <c r="E11" s="244">
        <v>1</v>
      </c>
      <c r="F11" s="244">
        <v>1</v>
      </c>
      <c r="G11" s="244">
        <v>1</v>
      </c>
      <c r="H11" s="244">
        <v>1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5">
        <v>0</v>
      </c>
    </row>
    <row r="12" spans="1:15" ht="10.5" thickBot="1" x14ac:dyDescent="0.25">
      <c r="B12" s="252" t="s">
        <v>329</v>
      </c>
      <c r="C12" s="246">
        <v>1</v>
      </c>
      <c r="D12" s="246">
        <v>1</v>
      </c>
      <c r="E12" s="246">
        <v>1</v>
      </c>
      <c r="F12" s="246">
        <v>1</v>
      </c>
      <c r="G12" s="246">
        <v>1</v>
      </c>
      <c r="H12" s="246">
        <v>3</v>
      </c>
      <c r="I12" s="246">
        <v>4</v>
      </c>
      <c r="J12" s="246">
        <v>4</v>
      </c>
      <c r="K12" s="246">
        <v>2</v>
      </c>
      <c r="L12" s="246">
        <v>1</v>
      </c>
      <c r="M12" s="246">
        <v>2</v>
      </c>
      <c r="N12" s="247">
        <v>2</v>
      </c>
    </row>
    <row r="13" spans="1:15" ht="11" thickBot="1" x14ac:dyDescent="0.3">
      <c r="B13" s="248" t="s">
        <v>330</v>
      </c>
      <c r="C13" s="249">
        <v>28.15</v>
      </c>
      <c r="D13" s="253">
        <v>28.15</v>
      </c>
      <c r="E13" s="253">
        <v>28.15</v>
      </c>
      <c r="F13" s="253">
        <v>28.15</v>
      </c>
      <c r="G13" s="253">
        <v>28.15</v>
      </c>
      <c r="H13" s="253">
        <v>30.15</v>
      </c>
      <c r="I13" s="253">
        <v>31</v>
      </c>
      <c r="J13" s="253">
        <v>31</v>
      </c>
      <c r="K13" s="253">
        <v>29</v>
      </c>
      <c r="L13" s="253">
        <v>28</v>
      </c>
      <c r="M13" s="253">
        <v>29</v>
      </c>
      <c r="N13" s="254">
        <v>29</v>
      </c>
      <c r="O13" s="251">
        <v>28.991666666666664</v>
      </c>
    </row>
    <row r="14" spans="1:15" x14ac:dyDescent="0.2">
      <c r="B14" s="252" t="s">
        <v>331</v>
      </c>
      <c r="C14" s="241">
        <v>33</v>
      </c>
      <c r="D14" s="241">
        <v>33</v>
      </c>
      <c r="E14" s="241">
        <v>33</v>
      </c>
      <c r="F14" s="241">
        <v>33</v>
      </c>
      <c r="G14" s="241">
        <v>33</v>
      </c>
      <c r="H14" s="241">
        <v>33</v>
      </c>
      <c r="I14" s="241">
        <v>33</v>
      </c>
      <c r="J14" s="241">
        <v>33</v>
      </c>
      <c r="K14" s="241">
        <v>33</v>
      </c>
      <c r="L14" s="241">
        <v>32</v>
      </c>
      <c r="M14" s="241">
        <v>32</v>
      </c>
      <c r="N14" s="242">
        <v>10</v>
      </c>
    </row>
    <row r="15" spans="1:15" x14ac:dyDescent="0.2">
      <c r="B15" s="252" t="s">
        <v>332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5">
        <v>0</v>
      </c>
    </row>
    <row r="16" spans="1:15" ht="10.5" thickBot="1" x14ac:dyDescent="0.25">
      <c r="B16" s="252" t="s">
        <v>333</v>
      </c>
      <c r="C16" s="246">
        <v>3</v>
      </c>
      <c r="D16" s="246">
        <v>3</v>
      </c>
      <c r="E16" s="246">
        <v>3</v>
      </c>
      <c r="F16" s="246">
        <v>3</v>
      </c>
      <c r="G16" s="246">
        <v>4</v>
      </c>
      <c r="H16" s="246">
        <v>4</v>
      </c>
      <c r="I16" s="246">
        <v>5</v>
      </c>
      <c r="J16" s="246">
        <v>5</v>
      </c>
      <c r="K16" s="246">
        <v>4</v>
      </c>
      <c r="L16" s="246">
        <v>3</v>
      </c>
      <c r="M16" s="246">
        <v>3</v>
      </c>
      <c r="N16" s="247">
        <v>0</v>
      </c>
    </row>
    <row r="17" spans="2:15" ht="11" thickBot="1" x14ac:dyDescent="0.3">
      <c r="B17" s="248" t="s">
        <v>334</v>
      </c>
      <c r="C17" s="249">
        <v>36</v>
      </c>
      <c r="D17" s="249">
        <v>36</v>
      </c>
      <c r="E17" s="249">
        <v>36</v>
      </c>
      <c r="F17" s="249">
        <v>36</v>
      </c>
      <c r="G17" s="249">
        <v>37</v>
      </c>
      <c r="H17" s="249">
        <v>37</v>
      </c>
      <c r="I17" s="249">
        <v>38</v>
      </c>
      <c r="J17" s="249">
        <v>38</v>
      </c>
      <c r="K17" s="249">
        <v>37</v>
      </c>
      <c r="L17" s="249">
        <v>35</v>
      </c>
      <c r="M17" s="249">
        <v>35</v>
      </c>
      <c r="N17" s="255">
        <v>10</v>
      </c>
      <c r="O17" s="251">
        <v>34.25</v>
      </c>
    </row>
    <row r="18" spans="2:15" x14ac:dyDescent="0.2">
      <c r="B18" s="252" t="s">
        <v>335</v>
      </c>
      <c r="C18" s="241">
        <v>156</v>
      </c>
      <c r="D18" s="241">
        <v>155</v>
      </c>
      <c r="E18" s="241">
        <v>156</v>
      </c>
      <c r="F18" s="241">
        <v>157</v>
      </c>
      <c r="G18" s="241">
        <v>157</v>
      </c>
      <c r="H18" s="241">
        <v>157</v>
      </c>
      <c r="I18" s="241">
        <v>157</v>
      </c>
      <c r="J18" s="241">
        <v>156</v>
      </c>
      <c r="K18" s="241">
        <v>157</v>
      </c>
      <c r="L18" s="241">
        <v>159</v>
      </c>
      <c r="M18" s="241">
        <v>159</v>
      </c>
      <c r="N18" s="242">
        <v>159</v>
      </c>
    </row>
    <row r="19" spans="2:15" x14ac:dyDescent="0.2">
      <c r="B19" s="252" t="s">
        <v>336</v>
      </c>
      <c r="C19" s="244">
        <v>16</v>
      </c>
      <c r="D19" s="244">
        <v>17</v>
      </c>
      <c r="E19" s="244">
        <v>17</v>
      </c>
      <c r="F19" s="244">
        <v>15</v>
      </c>
      <c r="G19" s="244">
        <v>15</v>
      </c>
      <c r="H19" s="244">
        <v>14</v>
      </c>
      <c r="I19" s="244">
        <v>14</v>
      </c>
      <c r="J19" s="244">
        <v>12</v>
      </c>
      <c r="K19" s="244">
        <v>9</v>
      </c>
      <c r="L19" s="244">
        <v>8</v>
      </c>
      <c r="M19" s="244">
        <v>8</v>
      </c>
      <c r="N19" s="245">
        <v>7</v>
      </c>
    </row>
    <row r="20" spans="2:15" ht="10.5" thickBot="1" x14ac:dyDescent="0.25">
      <c r="B20" s="252" t="s">
        <v>337</v>
      </c>
      <c r="C20" s="246">
        <v>3</v>
      </c>
      <c r="D20" s="246">
        <v>4</v>
      </c>
      <c r="E20" s="246">
        <v>4</v>
      </c>
      <c r="F20" s="246">
        <v>5</v>
      </c>
      <c r="G20" s="246">
        <v>5</v>
      </c>
      <c r="H20" s="246">
        <v>5</v>
      </c>
      <c r="I20" s="246">
        <v>6</v>
      </c>
      <c r="J20" s="246">
        <v>7</v>
      </c>
      <c r="K20" s="246">
        <v>10</v>
      </c>
      <c r="L20" s="246">
        <v>9</v>
      </c>
      <c r="M20" s="246">
        <v>10</v>
      </c>
      <c r="N20" s="247">
        <v>11</v>
      </c>
    </row>
    <row r="21" spans="2:15" ht="11" thickBot="1" x14ac:dyDescent="0.3">
      <c r="B21" s="256" t="s">
        <v>338</v>
      </c>
      <c r="C21" s="250">
        <v>161.4</v>
      </c>
      <c r="D21" s="254">
        <v>161.55000000000001</v>
      </c>
      <c r="E21" s="254">
        <v>162.55000000000001</v>
      </c>
      <c r="F21" s="254">
        <v>164.25</v>
      </c>
      <c r="G21" s="254">
        <v>164.25</v>
      </c>
      <c r="H21" s="254">
        <v>164.1</v>
      </c>
      <c r="I21" s="254">
        <v>165.1</v>
      </c>
      <c r="J21" s="254">
        <v>164.8</v>
      </c>
      <c r="K21" s="254">
        <v>168.35</v>
      </c>
      <c r="L21" s="254">
        <v>169.2</v>
      </c>
      <c r="M21" s="254">
        <v>170.2</v>
      </c>
      <c r="N21" s="254">
        <v>171.05</v>
      </c>
      <c r="O21" s="251">
        <v>165.56666666666666</v>
      </c>
    </row>
    <row r="22" spans="2:15" x14ac:dyDescent="0.2">
      <c r="B22" s="252" t="s">
        <v>339</v>
      </c>
      <c r="C22" s="241">
        <v>128</v>
      </c>
      <c r="D22" s="241">
        <v>128</v>
      </c>
      <c r="E22" s="241">
        <v>128</v>
      </c>
      <c r="F22" s="241">
        <v>128</v>
      </c>
      <c r="G22" s="241">
        <v>128</v>
      </c>
      <c r="H22" s="241">
        <v>128</v>
      </c>
      <c r="I22" s="241">
        <v>129</v>
      </c>
      <c r="J22" s="241">
        <v>129</v>
      </c>
      <c r="K22" s="241">
        <v>129</v>
      </c>
      <c r="L22" s="241">
        <v>128</v>
      </c>
      <c r="M22" s="241">
        <v>128</v>
      </c>
      <c r="N22" s="242">
        <v>128</v>
      </c>
    </row>
    <row r="23" spans="2:15" x14ac:dyDescent="0.2">
      <c r="B23" s="252" t="s">
        <v>340</v>
      </c>
      <c r="C23" s="244">
        <v>6</v>
      </c>
      <c r="D23" s="244">
        <v>5</v>
      </c>
      <c r="E23" s="244">
        <v>4</v>
      </c>
      <c r="F23" s="244">
        <v>4</v>
      </c>
      <c r="G23" s="244">
        <v>4</v>
      </c>
      <c r="H23" s="244">
        <v>4</v>
      </c>
      <c r="I23" s="244">
        <v>4</v>
      </c>
      <c r="J23" s="244">
        <v>4</v>
      </c>
      <c r="K23" s="244">
        <v>4</v>
      </c>
      <c r="L23" s="244">
        <v>4</v>
      </c>
      <c r="M23" s="244">
        <v>3</v>
      </c>
      <c r="N23" s="245">
        <v>4</v>
      </c>
    </row>
    <row r="24" spans="2:15" ht="10.5" thickBot="1" x14ac:dyDescent="0.25">
      <c r="B24" s="252" t="s">
        <v>341</v>
      </c>
      <c r="C24" s="246">
        <v>6</v>
      </c>
      <c r="D24" s="246">
        <v>6</v>
      </c>
      <c r="E24" s="246">
        <v>6</v>
      </c>
      <c r="F24" s="246">
        <v>9</v>
      </c>
      <c r="G24" s="246">
        <v>8</v>
      </c>
      <c r="H24" s="246">
        <v>13</v>
      </c>
      <c r="I24" s="246">
        <v>11</v>
      </c>
      <c r="J24" s="246">
        <v>9</v>
      </c>
      <c r="K24" s="246">
        <v>10</v>
      </c>
      <c r="L24" s="246">
        <v>9</v>
      </c>
      <c r="M24" s="246">
        <v>9</v>
      </c>
      <c r="N24" s="247">
        <v>9</v>
      </c>
    </row>
    <row r="25" spans="2:15" ht="11" thickBot="1" x14ac:dyDescent="0.3">
      <c r="B25" s="256" t="s">
        <v>342</v>
      </c>
      <c r="C25" s="250">
        <v>134.9</v>
      </c>
      <c r="D25" s="250">
        <v>134.75</v>
      </c>
      <c r="E25" s="250">
        <v>134.6</v>
      </c>
      <c r="F25" s="250">
        <v>137.6</v>
      </c>
      <c r="G25" s="250">
        <v>136.6</v>
      </c>
      <c r="H25" s="250">
        <v>141.6</v>
      </c>
      <c r="I25" s="250">
        <v>140.6</v>
      </c>
      <c r="J25" s="250">
        <v>138.6</v>
      </c>
      <c r="K25" s="250">
        <v>139.6</v>
      </c>
      <c r="L25" s="250">
        <v>137.6</v>
      </c>
      <c r="M25" s="250">
        <v>137.44999999999999</v>
      </c>
      <c r="N25" s="250">
        <v>141</v>
      </c>
      <c r="O25" s="251">
        <v>137.90833333333333</v>
      </c>
    </row>
    <row r="26" spans="2:15" x14ac:dyDescent="0.2">
      <c r="B26" s="240" t="s">
        <v>343</v>
      </c>
      <c r="C26" s="241">
        <v>10</v>
      </c>
      <c r="D26" s="241">
        <v>10</v>
      </c>
      <c r="E26" s="241">
        <v>10</v>
      </c>
      <c r="F26" s="241">
        <v>10</v>
      </c>
      <c r="G26" s="241">
        <v>10</v>
      </c>
      <c r="H26" s="241">
        <v>10</v>
      </c>
      <c r="I26" s="241">
        <v>10</v>
      </c>
      <c r="J26" s="241">
        <v>10</v>
      </c>
      <c r="K26" s="241">
        <v>10</v>
      </c>
      <c r="L26" s="241">
        <v>10</v>
      </c>
      <c r="M26" s="241">
        <v>10</v>
      </c>
      <c r="N26" s="242">
        <v>10</v>
      </c>
    </row>
    <row r="27" spans="2:15" x14ac:dyDescent="0.2">
      <c r="B27" s="243" t="s">
        <v>344</v>
      </c>
      <c r="C27" s="244">
        <v>0</v>
      </c>
      <c r="D27" s="244">
        <v>0</v>
      </c>
      <c r="E27" s="244">
        <v>0</v>
      </c>
      <c r="F27" s="244">
        <v>0</v>
      </c>
      <c r="G27" s="244">
        <v>0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5">
        <v>0</v>
      </c>
    </row>
    <row r="28" spans="2:15" ht="10.5" thickBot="1" x14ac:dyDescent="0.25">
      <c r="B28" s="243" t="s">
        <v>345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7">
        <v>0</v>
      </c>
    </row>
    <row r="29" spans="2:15" ht="11" thickBot="1" x14ac:dyDescent="0.3">
      <c r="B29" s="257" t="s">
        <v>346</v>
      </c>
      <c r="C29" s="250">
        <v>10</v>
      </c>
      <c r="D29" s="250">
        <v>10</v>
      </c>
      <c r="E29" s="250">
        <v>10</v>
      </c>
      <c r="F29" s="250">
        <v>10</v>
      </c>
      <c r="G29" s="250">
        <v>10</v>
      </c>
      <c r="H29" s="250">
        <v>10</v>
      </c>
      <c r="I29" s="250">
        <v>10</v>
      </c>
      <c r="J29" s="250">
        <v>10</v>
      </c>
      <c r="K29" s="250">
        <v>10</v>
      </c>
      <c r="L29" s="250">
        <v>10</v>
      </c>
      <c r="M29" s="250">
        <v>10</v>
      </c>
      <c r="N29" s="250">
        <v>10</v>
      </c>
      <c r="O29" s="251">
        <v>10</v>
      </c>
    </row>
    <row r="30" spans="2:15" x14ac:dyDescent="0.2">
      <c r="B30" s="258" t="s">
        <v>347</v>
      </c>
      <c r="C30" s="241">
        <v>9</v>
      </c>
      <c r="D30" s="241">
        <v>9</v>
      </c>
      <c r="E30" s="241">
        <v>9</v>
      </c>
      <c r="F30" s="241">
        <v>9</v>
      </c>
      <c r="G30" s="241">
        <v>9</v>
      </c>
      <c r="H30" s="241">
        <v>9</v>
      </c>
      <c r="I30" s="241">
        <v>9</v>
      </c>
      <c r="J30" s="241">
        <v>9</v>
      </c>
      <c r="K30" s="241">
        <v>9</v>
      </c>
      <c r="L30" s="241">
        <v>9</v>
      </c>
      <c r="M30" s="241">
        <v>9</v>
      </c>
      <c r="N30" s="242">
        <v>9</v>
      </c>
    </row>
    <row r="31" spans="2:15" x14ac:dyDescent="0.2">
      <c r="B31" s="258" t="s">
        <v>348</v>
      </c>
      <c r="C31" s="244">
        <v>0</v>
      </c>
      <c r="D31" s="244">
        <v>0</v>
      </c>
      <c r="E31" s="244">
        <v>0</v>
      </c>
      <c r="F31" s="244">
        <v>0</v>
      </c>
      <c r="G31" s="244">
        <v>0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5">
        <v>0</v>
      </c>
    </row>
    <row r="32" spans="2:15" ht="10.5" thickBot="1" x14ac:dyDescent="0.25">
      <c r="B32" s="258" t="s">
        <v>349</v>
      </c>
      <c r="C32" s="246">
        <v>0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7">
        <v>0</v>
      </c>
    </row>
    <row r="33" spans="1:28" s="259" customFormat="1" ht="11" thickBot="1" x14ac:dyDescent="0.3">
      <c r="A33" s="235"/>
      <c r="B33" s="248" t="s">
        <v>350</v>
      </c>
      <c r="C33" s="249">
        <v>9</v>
      </c>
      <c r="D33" s="249">
        <v>9</v>
      </c>
      <c r="E33" s="249">
        <v>9</v>
      </c>
      <c r="F33" s="249">
        <v>9</v>
      </c>
      <c r="G33" s="249">
        <v>9</v>
      </c>
      <c r="H33" s="249">
        <v>9</v>
      </c>
      <c r="I33" s="249">
        <v>9</v>
      </c>
      <c r="J33" s="249">
        <v>9</v>
      </c>
      <c r="K33" s="249">
        <v>9</v>
      </c>
      <c r="L33" s="249">
        <v>9</v>
      </c>
      <c r="M33" s="249">
        <v>9</v>
      </c>
      <c r="N33" s="250">
        <v>9</v>
      </c>
      <c r="O33" s="251">
        <v>9</v>
      </c>
    </row>
    <row r="34" spans="1:28" s="259" customFormat="1" x14ac:dyDescent="0.2">
      <c r="A34" s="235"/>
      <c r="B34" s="258" t="s">
        <v>351</v>
      </c>
      <c r="C34" s="244">
        <v>18</v>
      </c>
      <c r="D34" s="244">
        <v>18</v>
      </c>
      <c r="E34" s="244">
        <v>18</v>
      </c>
      <c r="F34" s="244">
        <v>18</v>
      </c>
      <c r="G34" s="244">
        <v>18</v>
      </c>
      <c r="H34" s="244">
        <v>18</v>
      </c>
      <c r="I34" s="244">
        <v>18</v>
      </c>
      <c r="J34" s="244">
        <v>18</v>
      </c>
      <c r="K34" s="244">
        <v>18</v>
      </c>
      <c r="L34" s="244">
        <v>18</v>
      </c>
      <c r="M34" s="244">
        <v>18</v>
      </c>
      <c r="N34" s="245">
        <v>16</v>
      </c>
    </row>
    <row r="35" spans="1:28" s="259" customFormat="1" x14ac:dyDescent="0.2">
      <c r="A35" s="235"/>
      <c r="B35" s="258" t="s">
        <v>352</v>
      </c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5">
        <v>0</v>
      </c>
    </row>
    <row r="36" spans="1:28" s="259" customFormat="1" ht="10.5" thickBot="1" x14ac:dyDescent="0.25">
      <c r="A36" s="235"/>
      <c r="B36" s="258" t="s">
        <v>353</v>
      </c>
      <c r="C36" s="260">
        <v>0</v>
      </c>
      <c r="D36" s="260">
        <v>0</v>
      </c>
      <c r="E36" s="260">
        <v>0</v>
      </c>
      <c r="F36" s="260">
        <v>0</v>
      </c>
      <c r="G36" s="260">
        <v>0</v>
      </c>
      <c r="H36" s="260">
        <v>0</v>
      </c>
      <c r="I36" s="260">
        <v>0</v>
      </c>
      <c r="J36" s="260">
        <v>0</v>
      </c>
      <c r="K36" s="260">
        <v>0</v>
      </c>
      <c r="L36" s="260">
        <v>0</v>
      </c>
      <c r="M36" s="260">
        <v>0</v>
      </c>
      <c r="N36" s="252">
        <v>0</v>
      </c>
    </row>
    <row r="37" spans="1:28" s="259" customFormat="1" ht="11" thickBot="1" x14ac:dyDescent="0.3">
      <c r="A37" s="235"/>
      <c r="B37" s="248" t="s">
        <v>354</v>
      </c>
      <c r="C37" s="261">
        <v>18</v>
      </c>
      <c r="D37" s="261">
        <v>18</v>
      </c>
      <c r="E37" s="261">
        <v>18</v>
      </c>
      <c r="F37" s="261">
        <v>18</v>
      </c>
      <c r="G37" s="261">
        <v>18</v>
      </c>
      <c r="H37" s="261">
        <v>18</v>
      </c>
      <c r="I37" s="261">
        <v>18</v>
      </c>
      <c r="J37" s="261">
        <v>18</v>
      </c>
      <c r="K37" s="261">
        <v>18</v>
      </c>
      <c r="L37" s="261">
        <v>18</v>
      </c>
      <c r="M37" s="261">
        <v>18</v>
      </c>
      <c r="N37" s="250">
        <v>16</v>
      </c>
      <c r="O37" s="251">
        <v>17.833333333333332</v>
      </c>
    </row>
    <row r="38" spans="1:28" s="259" customFormat="1" x14ac:dyDescent="0.2">
      <c r="A38" s="235"/>
      <c r="B38" s="243" t="s">
        <v>355</v>
      </c>
      <c r="C38" s="244">
        <v>490</v>
      </c>
      <c r="D38" s="244">
        <v>489</v>
      </c>
      <c r="E38" s="244">
        <v>489</v>
      </c>
      <c r="F38" s="244">
        <v>490</v>
      </c>
      <c r="G38" s="244">
        <v>488</v>
      </c>
      <c r="H38" s="244">
        <v>488</v>
      </c>
      <c r="I38" s="244">
        <v>488</v>
      </c>
      <c r="J38" s="244">
        <v>487</v>
      </c>
      <c r="K38" s="244">
        <v>487</v>
      </c>
      <c r="L38" s="244">
        <v>485</v>
      </c>
      <c r="M38" s="244">
        <v>485</v>
      </c>
      <c r="N38" s="245">
        <v>440</v>
      </c>
    </row>
    <row r="39" spans="1:28" x14ac:dyDescent="0.2">
      <c r="B39" s="243" t="s">
        <v>356</v>
      </c>
      <c r="C39" s="244">
        <v>23</v>
      </c>
      <c r="D39" s="244">
        <v>23</v>
      </c>
      <c r="E39" s="244">
        <v>22</v>
      </c>
      <c r="F39" s="244">
        <v>20</v>
      </c>
      <c r="G39" s="244">
        <v>20</v>
      </c>
      <c r="H39" s="244">
        <v>19</v>
      </c>
      <c r="I39" s="244">
        <v>18</v>
      </c>
      <c r="J39" s="244">
        <v>16</v>
      </c>
      <c r="K39" s="244">
        <v>13</v>
      </c>
      <c r="L39" s="244">
        <v>12</v>
      </c>
      <c r="M39" s="244">
        <v>11</v>
      </c>
      <c r="N39" s="245">
        <v>26</v>
      </c>
    </row>
    <row r="40" spans="1:28" ht="11" thickBot="1" x14ac:dyDescent="0.3">
      <c r="A40" s="262"/>
      <c r="B40" s="243" t="s">
        <v>357</v>
      </c>
      <c r="C40" s="260">
        <v>18</v>
      </c>
      <c r="D40" s="260">
        <v>21</v>
      </c>
      <c r="E40" s="260">
        <v>21</v>
      </c>
      <c r="F40" s="260">
        <v>25</v>
      </c>
      <c r="G40" s="260">
        <v>25</v>
      </c>
      <c r="H40" s="260">
        <v>32</v>
      </c>
      <c r="I40" s="260">
        <v>33</v>
      </c>
      <c r="J40" s="260">
        <v>32</v>
      </c>
      <c r="K40" s="260">
        <v>32</v>
      </c>
      <c r="L40" s="260">
        <v>27</v>
      </c>
      <c r="M40" s="260">
        <v>29</v>
      </c>
      <c r="N40" s="252">
        <v>25</v>
      </c>
    </row>
    <row r="41" spans="1:28" ht="11" thickBot="1" x14ac:dyDescent="0.3">
      <c r="B41" s="263" t="s">
        <v>358</v>
      </c>
      <c r="C41" s="261">
        <v>511.45</v>
      </c>
      <c r="D41" s="261">
        <v>513.45000000000005</v>
      </c>
      <c r="E41" s="261">
        <v>513.29999999999995</v>
      </c>
      <c r="F41" s="261">
        <v>518</v>
      </c>
      <c r="G41" s="261">
        <v>516</v>
      </c>
      <c r="H41" s="261">
        <v>522.85</v>
      </c>
      <c r="I41" s="261">
        <v>523.70000000000005</v>
      </c>
      <c r="J41" s="261">
        <v>521.4</v>
      </c>
      <c r="K41" s="261">
        <v>520.95000000000005</v>
      </c>
      <c r="L41" s="261">
        <v>513.79999999999995</v>
      </c>
      <c r="M41" s="261">
        <v>515.65</v>
      </c>
      <c r="N41" s="250">
        <v>468.9</v>
      </c>
      <c r="O41" s="251">
        <v>513.28749999999991</v>
      </c>
      <c r="P41" s="264" t="s">
        <v>359</v>
      </c>
      <c r="Q41" s="235">
        <v>490</v>
      </c>
      <c r="R41" s="235">
        <v>489</v>
      </c>
      <c r="S41" s="235">
        <v>489</v>
      </c>
      <c r="T41" s="235">
        <v>490</v>
      </c>
      <c r="U41" s="235">
        <v>488</v>
      </c>
      <c r="V41" s="235">
        <v>488</v>
      </c>
      <c r="W41" s="235">
        <v>488</v>
      </c>
      <c r="X41" s="235">
        <v>487</v>
      </c>
      <c r="Y41" s="235">
        <v>487</v>
      </c>
      <c r="Z41" s="235">
        <v>485</v>
      </c>
      <c r="AA41" s="235">
        <v>485</v>
      </c>
      <c r="AB41" s="235">
        <v>440</v>
      </c>
    </row>
    <row r="42" spans="1:28" x14ac:dyDescent="0.2">
      <c r="B42" s="265" t="s">
        <v>360</v>
      </c>
      <c r="C42" s="266">
        <v>490</v>
      </c>
      <c r="D42" s="267">
        <v>489.5</v>
      </c>
      <c r="E42" s="267">
        <v>489.33333333333331</v>
      </c>
      <c r="F42" s="267">
        <v>489.5</v>
      </c>
      <c r="G42" s="267">
        <v>489.2</v>
      </c>
      <c r="H42" s="267">
        <v>489</v>
      </c>
      <c r="I42" s="267">
        <v>488.85714285714283</v>
      </c>
      <c r="J42" s="267">
        <v>488.625</v>
      </c>
      <c r="K42" s="267">
        <v>488.44444444444446</v>
      </c>
      <c r="L42" s="267">
        <v>488.1</v>
      </c>
      <c r="M42" s="267">
        <v>487.81818181818181</v>
      </c>
      <c r="N42" s="267">
        <v>483.83333333333331</v>
      </c>
      <c r="O42" s="268"/>
      <c r="P42" s="264" t="s">
        <v>361</v>
      </c>
      <c r="Q42" s="235">
        <v>23</v>
      </c>
      <c r="R42" s="235">
        <v>23</v>
      </c>
      <c r="S42" s="235">
        <v>22</v>
      </c>
      <c r="T42" s="235">
        <v>20</v>
      </c>
      <c r="U42" s="235">
        <v>20</v>
      </c>
      <c r="V42" s="235">
        <v>19</v>
      </c>
      <c r="W42" s="235">
        <v>18</v>
      </c>
      <c r="X42" s="235">
        <v>16</v>
      </c>
      <c r="Y42" s="235">
        <v>13</v>
      </c>
      <c r="Z42" s="235">
        <v>12</v>
      </c>
      <c r="AA42" s="235">
        <v>11</v>
      </c>
      <c r="AB42" s="235">
        <v>26</v>
      </c>
    </row>
    <row r="43" spans="1:28" x14ac:dyDescent="0.2">
      <c r="B43" s="269" t="s">
        <v>362</v>
      </c>
      <c r="C43" s="270">
        <v>23</v>
      </c>
      <c r="D43" s="271">
        <v>23</v>
      </c>
      <c r="E43" s="271">
        <v>22.666666666666668</v>
      </c>
      <c r="F43" s="271">
        <v>22</v>
      </c>
      <c r="G43" s="271">
        <v>21.6</v>
      </c>
      <c r="H43" s="271">
        <v>21.166666666666668</v>
      </c>
      <c r="I43" s="271">
        <v>20.714285714285715</v>
      </c>
      <c r="J43" s="271">
        <v>20.125</v>
      </c>
      <c r="K43" s="271">
        <v>19.333333333333332</v>
      </c>
      <c r="L43" s="271">
        <v>18.600000000000001</v>
      </c>
      <c r="M43" s="271">
        <v>17.90909090909091</v>
      </c>
      <c r="N43" s="271">
        <v>18.583333333333332</v>
      </c>
      <c r="O43" s="268"/>
      <c r="P43" s="264" t="s">
        <v>363</v>
      </c>
      <c r="Q43" s="235">
        <v>18</v>
      </c>
      <c r="R43" s="235">
        <v>21</v>
      </c>
      <c r="S43" s="235">
        <v>21</v>
      </c>
      <c r="T43" s="235">
        <v>25</v>
      </c>
      <c r="U43" s="235">
        <v>25</v>
      </c>
      <c r="V43" s="235">
        <v>32</v>
      </c>
      <c r="W43" s="235">
        <v>33</v>
      </c>
      <c r="X43" s="235">
        <v>32</v>
      </c>
      <c r="Y43" s="235">
        <v>32</v>
      </c>
      <c r="Z43" s="235">
        <v>27</v>
      </c>
      <c r="AA43" s="235">
        <v>29</v>
      </c>
      <c r="AB43" s="235">
        <v>25</v>
      </c>
    </row>
    <row r="44" spans="1:28" ht="10.5" thickBot="1" x14ac:dyDescent="0.25">
      <c r="B44" s="269" t="s">
        <v>364</v>
      </c>
      <c r="C44" s="270">
        <v>18</v>
      </c>
      <c r="D44" s="271">
        <v>19.5</v>
      </c>
      <c r="E44" s="271">
        <v>20</v>
      </c>
      <c r="F44" s="271">
        <v>21.25</v>
      </c>
      <c r="G44" s="271">
        <v>22</v>
      </c>
      <c r="H44" s="272">
        <v>23.666666666666668</v>
      </c>
      <c r="I44" s="272">
        <v>25</v>
      </c>
      <c r="J44" s="272">
        <v>25.875</v>
      </c>
      <c r="K44" s="272">
        <v>26.555555555555557</v>
      </c>
      <c r="L44" s="272">
        <v>26.6</v>
      </c>
      <c r="M44" s="272">
        <v>26.818181818181817</v>
      </c>
      <c r="N44" s="271">
        <v>26.666666666666668</v>
      </c>
      <c r="P44" s="235" t="s">
        <v>365</v>
      </c>
      <c r="Q44" s="235">
        <v>490</v>
      </c>
      <c r="R44" s="235">
        <v>979</v>
      </c>
      <c r="S44" s="235">
        <v>1468</v>
      </c>
      <c r="T44" s="235">
        <v>1958</v>
      </c>
      <c r="U44" s="235">
        <v>2446</v>
      </c>
      <c r="V44" s="235">
        <v>2934</v>
      </c>
      <c r="W44" s="235">
        <v>3422</v>
      </c>
      <c r="X44" s="235">
        <v>3909</v>
      </c>
      <c r="Y44" s="235">
        <v>4396</v>
      </c>
      <c r="Z44" s="235">
        <v>4881</v>
      </c>
      <c r="AA44" s="235">
        <v>5366</v>
      </c>
      <c r="AB44" s="235">
        <v>5806</v>
      </c>
    </row>
    <row r="45" spans="1:28" ht="11" thickBot="1" x14ac:dyDescent="0.3">
      <c r="B45" s="273" t="s">
        <v>366</v>
      </c>
      <c r="C45" s="274">
        <v>511.45</v>
      </c>
      <c r="D45" s="274">
        <v>512.45000000000005</v>
      </c>
      <c r="E45" s="274">
        <v>512.73333333333335</v>
      </c>
      <c r="F45" s="274">
        <v>514.04999999999995</v>
      </c>
      <c r="G45" s="274">
        <v>514.43999999999994</v>
      </c>
      <c r="H45" s="274">
        <v>515.84166666666658</v>
      </c>
      <c r="I45" s="274">
        <v>516.96428571428578</v>
      </c>
      <c r="J45" s="274">
        <v>517.51874999999995</v>
      </c>
      <c r="K45" s="274">
        <v>517.9</v>
      </c>
      <c r="L45" s="274">
        <v>517.49</v>
      </c>
      <c r="M45" s="274">
        <v>517.32272727272721</v>
      </c>
      <c r="N45" s="274">
        <v>513.28750000000002</v>
      </c>
      <c r="P45" s="235" t="s">
        <v>367</v>
      </c>
      <c r="Q45" s="235">
        <v>23</v>
      </c>
      <c r="R45" s="235">
        <v>46</v>
      </c>
      <c r="S45" s="235">
        <v>68</v>
      </c>
      <c r="T45" s="235">
        <v>88</v>
      </c>
      <c r="U45" s="235">
        <v>108</v>
      </c>
      <c r="V45" s="235">
        <v>127</v>
      </c>
      <c r="W45" s="235">
        <v>145</v>
      </c>
      <c r="X45" s="235">
        <v>161</v>
      </c>
      <c r="Y45" s="235">
        <v>174</v>
      </c>
      <c r="Z45" s="235">
        <v>186</v>
      </c>
      <c r="AA45" s="235">
        <v>197</v>
      </c>
      <c r="AB45" s="235">
        <v>223</v>
      </c>
    </row>
    <row r="46" spans="1:28" ht="10.5" x14ac:dyDescent="0.25">
      <c r="A46" s="262"/>
      <c r="B46" s="275"/>
      <c r="P46" s="235" t="s">
        <v>368</v>
      </c>
      <c r="Q46" s="235">
        <v>18</v>
      </c>
      <c r="R46" s="235">
        <v>39</v>
      </c>
      <c r="S46" s="235">
        <v>60</v>
      </c>
      <c r="T46" s="235">
        <v>85</v>
      </c>
      <c r="U46" s="235">
        <v>110</v>
      </c>
      <c r="V46" s="235">
        <v>142</v>
      </c>
      <c r="W46" s="235">
        <v>175</v>
      </c>
      <c r="X46" s="235">
        <v>207</v>
      </c>
      <c r="Y46" s="235">
        <v>239</v>
      </c>
      <c r="Z46" s="235">
        <v>266</v>
      </c>
      <c r="AA46" s="235">
        <v>295</v>
      </c>
      <c r="AB46" s="235">
        <v>320</v>
      </c>
    </row>
    <row r="49" spans="1:15" ht="10.5" thickBot="1" x14ac:dyDescent="0.25"/>
    <row r="50" spans="1:15" ht="15.5" x14ac:dyDescent="0.35">
      <c r="B50" s="276" t="s">
        <v>369</v>
      </c>
      <c r="C50" s="984" t="s">
        <v>309</v>
      </c>
      <c r="D50" s="985"/>
      <c r="E50" s="985"/>
      <c r="F50" s="985"/>
      <c r="G50" s="985"/>
      <c r="H50" s="985"/>
      <c r="I50" s="985"/>
      <c r="J50" s="985"/>
      <c r="K50" s="985"/>
      <c r="L50" s="985"/>
      <c r="M50" s="985"/>
      <c r="N50" s="986"/>
    </row>
    <row r="51" spans="1:15" x14ac:dyDescent="0.2">
      <c r="B51" s="277"/>
      <c r="C51" s="987" t="s">
        <v>310</v>
      </c>
      <c r="D51" s="987" t="s">
        <v>311</v>
      </c>
      <c r="E51" s="987" t="s">
        <v>312</v>
      </c>
      <c r="F51" s="987" t="s">
        <v>313</v>
      </c>
      <c r="G51" s="987" t="s">
        <v>314</v>
      </c>
      <c r="H51" s="987" t="s">
        <v>315</v>
      </c>
      <c r="I51" s="987" t="s">
        <v>316</v>
      </c>
      <c r="J51" s="987" t="s">
        <v>317</v>
      </c>
      <c r="K51" s="987" t="s">
        <v>318</v>
      </c>
      <c r="L51" s="987" t="s">
        <v>319</v>
      </c>
      <c r="M51" s="987" t="s">
        <v>320</v>
      </c>
      <c r="N51" s="987" t="s">
        <v>321</v>
      </c>
    </row>
    <row r="52" spans="1:15" ht="12" thickBot="1" x14ac:dyDescent="0.3">
      <c r="B52" s="239" t="s">
        <v>322</v>
      </c>
      <c r="C52" s="988"/>
      <c r="D52" s="988"/>
      <c r="E52" s="988"/>
      <c r="F52" s="988"/>
      <c r="G52" s="988"/>
      <c r="H52" s="988"/>
      <c r="I52" s="988"/>
      <c r="J52" s="988"/>
      <c r="K52" s="988"/>
      <c r="L52" s="988"/>
      <c r="M52" s="988"/>
      <c r="N52" s="988"/>
    </row>
    <row r="53" spans="1:15" x14ac:dyDescent="0.2">
      <c r="A53" s="236"/>
      <c r="B53" s="278" t="s">
        <v>370</v>
      </c>
      <c r="C53" s="241">
        <v>137</v>
      </c>
      <c r="D53" s="241">
        <v>137</v>
      </c>
      <c r="E53" s="241">
        <v>137</v>
      </c>
      <c r="F53" s="241">
        <v>137</v>
      </c>
      <c r="G53" s="241">
        <v>137</v>
      </c>
      <c r="H53" s="241">
        <v>137</v>
      </c>
      <c r="I53" s="241">
        <v>136</v>
      </c>
      <c r="J53" s="241">
        <v>135</v>
      </c>
      <c r="K53" s="241">
        <v>135</v>
      </c>
      <c r="L53" s="241">
        <v>136</v>
      </c>
      <c r="M53" s="241">
        <v>136</v>
      </c>
      <c r="N53" s="278">
        <v>135</v>
      </c>
    </row>
    <row r="54" spans="1:15" x14ac:dyDescent="0.2">
      <c r="A54" s="236"/>
      <c r="B54" s="252" t="s">
        <v>371</v>
      </c>
      <c r="C54" s="244">
        <v>5</v>
      </c>
      <c r="D54" s="244">
        <v>5</v>
      </c>
      <c r="E54" s="244">
        <v>5</v>
      </c>
      <c r="F54" s="244">
        <v>5</v>
      </c>
      <c r="G54" s="244">
        <v>5</v>
      </c>
      <c r="H54" s="244">
        <v>4</v>
      </c>
      <c r="I54" s="244">
        <v>4</v>
      </c>
      <c r="J54" s="244">
        <v>4</v>
      </c>
      <c r="K54" s="244">
        <v>3</v>
      </c>
      <c r="L54" s="244">
        <v>3</v>
      </c>
      <c r="M54" s="244">
        <v>2</v>
      </c>
      <c r="N54" s="252">
        <v>2</v>
      </c>
    </row>
    <row r="55" spans="1:15" ht="10.5" thickBot="1" x14ac:dyDescent="0.25">
      <c r="A55" s="236"/>
      <c r="B55" s="252" t="s">
        <v>372</v>
      </c>
      <c r="C55" s="246">
        <v>12</v>
      </c>
      <c r="D55" s="246">
        <v>14</v>
      </c>
      <c r="E55" s="246">
        <v>13</v>
      </c>
      <c r="F55" s="246">
        <v>17</v>
      </c>
      <c r="G55" s="246">
        <v>16</v>
      </c>
      <c r="H55" s="246">
        <v>19</v>
      </c>
      <c r="I55" s="246">
        <v>19</v>
      </c>
      <c r="J55" s="246">
        <v>19</v>
      </c>
      <c r="K55" s="246">
        <v>19</v>
      </c>
      <c r="L55" s="246">
        <v>16</v>
      </c>
      <c r="M55" s="246">
        <v>12</v>
      </c>
      <c r="N55" s="247">
        <v>13</v>
      </c>
    </row>
    <row r="56" spans="1:15" ht="11" thickBot="1" x14ac:dyDescent="0.3">
      <c r="A56" s="279"/>
      <c r="B56" s="256" t="s">
        <v>373</v>
      </c>
      <c r="C56" s="250">
        <v>149.75</v>
      </c>
      <c r="D56" s="249">
        <v>151.75</v>
      </c>
      <c r="E56" s="249">
        <v>150.75</v>
      </c>
      <c r="F56" s="249">
        <v>154.75</v>
      </c>
      <c r="G56" s="249">
        <v>153.75</v>
      </c>
      <c r="H56" s="249">
        <v>156.6</v>
      </c>
      <c r="I56" s="249">
        <v>155.6</v>
      </c>
      <c r="J56" s="249">
        <v>154.6</v>
      </c>
      <c r="K56" s="249">
        <v>154.44999999999999</v>
      </c>
      <c r="L56" s="249">
        <v>152.44999999999999</v>
      </c>
      <c r="M56" s="249">
        <v>148.30000000000001</v>
      </c>
      <c r="N56" s="250">
        <v>148.30000000000001</v>
      </c>
      <c r="O56" s="251">
        <v>152.58750000000001</v>
      </c>
    </row>
    <row r="57" spans="1:15" ht="10.5" x14ac:dyDescent="0.25">
      <c r="A57" s="279"/>
      <c r="B57" s="252" t="s">
        <v>374</v>
      </c>
      <c r="C57" s="244">
        <v>23</v>
      </c>
      <c r="D57" s="244">
        <v>23</v>
      </c>
      <c r="E57" s="244">
        <v>23</v>
      </c>
      <c r="F57" s="244">
        <v>23</v>
      </c>
      <c r="G57" s="244">
        <v>23</v>
      </c>
      <c r="H57" s="244">
        <v>23</v>
      </c>
      <c r="I57" s="244">
        <v>22</v>
      </c>
      <c r="J57" s="244">
        <v>22</v>
      </c>
      <c r="K57" s="244">
        <v>22</v>
      </c>
      <c r="L57" s="244">
        <v>22</v>
      </c>
      <c r="M57" s="244">
        <v>22</v>
      </c>
      <c r="N57" s="278">
        <v>22</v>
      </c>
    </row>
    <row r="58" spans="1:15" x14ac:dyDescent="0.2">
      <c r="A58" s="236"/>
      <c r="B58" s="252" t="s">
        <v>375</v>
      </c>
      <c r="C58" s="244">
        <v>1</v>
      </c>
      <c r="D58" s="244">
        <v>1</v>
      </c>
      <c r="E58" s="244">
        <v>1</v>
      </c>
      <c r="F58" s="244">
        <v>1</v>
      </c>
      <c r="G58" s="244">
        <v>1</v>
      </c>
      <c r="H58" s="244">
        <v>1</v>
      </c>
      <c r="I58" s="244">
        <v>1</v>
      </c>
      <c r="J58" s="244">
        <v>1</v>
      </c>
      <c r="K58" s="244">
        <v>0</v>
      </c>
      <c r="L58" s="244">
        <v>0</v>
      </c>
      <c r="M58" s="244">
        <v>0</v>
      </c>
      <c r="N58" s="252">
        <v>0</v>
      </c>
    </row>
    <row r="59" spans="1:15" ht="10.5" thickBot="1" x14ac:dyDescent="0.25">
      <c r="A59" s="236"/>
      <c r="B59" s="252" t="s">
        <v>376</v>
      </c>
      <c r="C59" s="244">
        <v>0</v>
      </c>
      <c r="D59" s="260">
        <v>0</v>
      </c>
      <c r="E59" s="260">
        <v>0</v>
      </c>
      <c r="F59" s="260">
        <v>0</v>
      </c>
      <c r="G59" s="260">
        <v>1</v>
      </c>
      <c r="H59" s="260">
        <v>1</v>
      </c>
      <c r="I59" s="260">
        <v>1</v>
      </c>
      <c r="J59" s="260">
        <v>0</v>
      </c>
      <c r="K59" s="260">
        <v>1</v>
      </c>
      <c r="L59" s="260">
        <v>1</v>
      </c>
      <c r="M59" s="260">
        <v>1</v>
      </c>
      <c r="N59" s="247">
        <v>1</v>
      </c>
    </row>
    <row r="60" spans="1:15" ht="11" thickBot="1" x14ac:dyDescent="0.3">
      <c r="A60" s="236"/>
      <c r="B60" s="256" t="s">
        <v>377</v>
      </c>
      <c r="C60" s="250">
        <v>23.15</v>
      </c>
      <c r="D60" s="261">
        <v>23.15</v>
      </c>
      <c r="E60" s="261">
        <v>23.15</v>
      </c>
      <c r="F60" s="261">
        <v>23.15</v>
      </c>
      <c r="G60" s="261">
        <v>24.15</v>
      </c>
      <c r="H60" s="261">
        <v>24.15</v>
      </c>
      <c r="I60" s="261">
        <v>23.15</v>
      </c>
      <c r="J60" s="261">
        <v>22.15</v>
      </c>
      <c r="K60" s="261">
        <v>23</v>
      </c>
      <c r="L60" s="261">
        <v>23</v>
      </c>
      <c r="M60" s="250">
        <v>23</v>
      </c>
      <c r="N60" s="250">
        <v>23</v>
      </c>
      <c r="O60" s="251">
        <v>23.183333333333337</v>
      </c>
    </row>
    <row r="61" spans="1:15" x14ac:dyDescent="0.2">
      <c r="A61" s="236"/>
      <c r="B61" s="252" t="s">
        <v>378</v>
      </c>
      <c r="C61" s="244">
        <v>6</v>
      </c>
      <c r="D61" s="244">
        <v>6</v>
      </c>
      <c r="E61" s="244">
        <v>6</v>
      </c>
      <c r="F61" s="244">
        <v>6</v>
      </c>
      <c r="G61" s="244">
        <v>6</v>
      </c>
      <c r="H61" s="244">
        <v>6</v>
      </c>
      <c r="I61" s="244">
        <v>6</v>
      </c>
      <c r="J61" s="244">
        <v>6</v>
      </c>
      <c r="K61" s="244">
        <v>6</v>
      </c>
      <c r="L61" s="244">
        <v>6</v>
      </c>
      <c r="M61" s="244">
        <v>6</v>
      </c>
      <c r="N61" s="278">
        <v>6</v>
      </c>
    </row>
    <row r="62" spans="1:15" x14ac:dyDescent="0.2">
      <c r="A62" s="236"/>
      <c r="B62" s="252" t="s">
        <v>379</v>
      </c>
      <c r="C62" s="244">
        <v>0</v>
      </c>
      <c r="D62" s="244">
        <v>0</v>
      </c>
      <c r="E62" s="244">
        <v>0</v>
      </c>
      <c r="F62" s="244">
        <v>0</v>
      </c>
      <c r="G62" s="244">
        <v>0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52">
        <v>0</v>
      </c>
    </row>
    <row r="63" spans="1:15" ht="10.5" thickBot="1" x14ac:dyDescent="0.25">
      <c r="A63" s="236"/>
      <c r="B63" s="258" t="s">
        <v>380</v>
      </c>
      <c r="C63" s="244">
        <v>0</v>
      </c>
      <c r="D63" s="260">
        <v>0</v>
      </c>
      <c r="E63" s="260">
        <v>0</v>
      </c>
      <c r="F63" s="260">
        <v>0</v>
      </c>
      <c r="G63" s="260">
        <v>0</v>
      </c>
      <c r="H63" s="260">
        <v>0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47">
        <v>0</v>
      </c>
    </row>
    <row r="64" spans="1:15" ht="11" thickBot="1" x14ac:dyDescent="0.3">
      <c r="A64" s="236"/>
      <c r="B64" s="256" t="s">
        <v>381</v>
      </c>
      <c r="C64" s="250">
        <v>6</v>
      </c>
      <c r="D64" s="261">
        <v>6</v>
      </c>
      <c r="E64" s="261">
        <v>6</v>
      </c>
      <c r="F64" s="261">
        <v>6</v>
      </c>
      <c r="G64" s="261">
        <v>6</v>
      </c>
      <c r="H64" s="261">
        <v>6</v>
      </c>
      <c r="I64" s="261">
        <v>6</v>
      </c>
      <c r="J64" s="261">
        <v>6</v>
      </c>
      <c r="K64" s="261">
        <v>6</v>
      </c>
      <c r="L64" s="261">
        <v>6</v>
      </c>
      <c r="M64" s="250">
        <v>6</v>
      </c>
      <c r="N64" s="250">
        <v>6</v>
      </c>
      <c r="O64" s="251">
        <v>6</v>
      </c>
    </row>
    <row r="65" spans="1:28" x14ac:dyDescent="0.2">
      <c r="A65" s="236"/>
      <c r="B65" s="280" t="s">
        <v>347</v>
      </c>
      <c r="C65" s="244">
        <v>0</v>
      </c>
      <c r="D65" s="244">
        <v>0</v>
      </c>
      <c r="E65" s="244">
        <v>0</v>
      </c>
      <c r="F65" s="244">
        <v>0</v>
      </c>
      <c r="G65" s="244">
        <v>0</v>
      </c>
      <c r="H65" s="244">
        <v>0</v>
      </c>
      <c r="I65" s="244">
        <v>0</v>
      </c>
      <c r="J65" s="244">
        <v>0</v>
      </c>
      <c r="K65" s="244">
        <v>0</v>
      </c>
      <c r="L65" s="244">
        <v>0</v>
      </c>
      <c r="M65" s="244">
        <v>0</v>
      </c>
      <c r="N65" s="278">
        <v>0</v>
      </c>
    </row>
    <row r="66" spans="1:28" x14ac:dyDescent="0.2">
      <c r="A66" s="236"/>
      <c r="B66" s="281" t="s">
        <v>348</v>
      </c>
      <c r="C66" s="244">
        <v>0</v>
      </c>
      <c r="D66" s="244">
        <v>0</v>
      </c>
      <c r="E66" s="244">
        <v>0</v>
      </c>
      <c r="F66" s="244">
        <v>0</v>
      </c>
      <c r="G66" s="244">
        <v>0</v>
      </c>
      <c r="H66" s="244">
        <v>0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52">
        <v>0</v>
      </c>
    </row>
    <row r="67" spans="1:28" ht="10.5" thickBot="1" x14ac:dyDescent="0.25">
      <c r="A67" s="236"/>
      <c r="B67" s="281" t="s">
        <v>349</v>
      </c>
      <c r="C67" s="244">
        <v>0</v>
      </c>
      <c r="D67" s="260">
        <v>0</v>
      </c>
      <c r="E67" s="260">
        <v>0</v>
      </c>
      <c r="F67" s="260">
        <v>0</v>
      </c>
      <c r="G67" s="260">
        <v>0</v>
      </c>
      <c r="H67" s="260">
        <v>0</v>
      </c>
      <c r="I67" s="260">
        <v>0</v>
      </c>
      <c r="J67" s="260">
        <v>0</v>
      </c>
      <c r="K67" s="260">
        <v>0</v>
      </c>
      <c r="L67" s="260">
        <v>0</v>
      </c>
      <c r="M67" s="260">
        <v>0</v>
      </c>
      <c r="N67" s="252">
        <v>0</v>
      </c>
    </row>
    <row r="68" spans="1:28" ht="11" thickBot="1" x14ac:dyDescent="0.3">
      <c r="A68" s="262"/>
      <c r="B68" s="282" t="s">
        <v>382</v>
      </c>
      <c r="C68" s="250">
        <v>0</v>
      </c>
      <c r="D68" s="261">
        <v>0</v>
      </c>
      <c r="E68" s="261">
        <v>0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61">
        <v>0</v>
      </c>
      <c r="L68" s="261">
        <v>0</v>
      </c>
      <c r="M68" s="261">
        <v>0</v>
      </c>
      <c r="N68" s="250">
        <v>0</v>
      </c>
      <c r="O68" s="251">
        <v>0</v>
      </c>
    </row>
    <row r="69" spans="1:28" ht="10.5" x14ac:dyDescent="0.25">
      <c r="A69" s="262"/>
      <c r="B69" s="280" t="s">
        <v>351</v>
      </c>
      <c r="C69" s="244">
        <v>8</v>
      </c>
      <c r="D69" s="244">
        <v>8</v>
      </c>
      <c r="E69" s="244">
        <v>8</v>
      </c>
      <c r="F69" s="244">
        <v>8</v>
      </c>
      <c r="G69" s="244">
        <v>7</v>
      </c>
      <c r="H69" s="244">
        <v>7</v>
      </c>
      <c r="I69" s="244">
        <v>7</v>
      </c>
      <c r="J69" s="244">
        <v>6</v>
      </c>
      <c r="K69" s="244">
        <v>6</v>
      </c>
      <c r="L69" s="244">
        <v>6</v>
      </c>
      <c r="M69" s="244">
        <v>6</v>
      </c>
      <c r="N69" s="252">
        <v>6</v>
      </c>
    </row>
    <row r="70" spans="1:28" ht="10.5" x14ac:dyDescent="0.25">
      <c r="A70" s="262"/>
      <c r="B70" s="281" t="s">
        <v>352</v>
      </c>
      <c r="C70" s="244">
        <v>0</v>
      </c>
      <c r="D70" s="244">
        <v>0</v>
      </c>
      <c r="E70" s="244">
        <v>0</v>
      </c>
      <c r="F70" s="244">
        <v>0</v>
      </c>
      <c r="G70" s="244">
        <v>1</v>
      </c>
      <c r="H70" s="244">
        <v>1</v>
      </c>
      <c r="I70" s="244">
        <v>1</v>
      </c>
      <c r="J70" s="244">
        <v>2</v>
      </c>
      <c r="K70" s="244">
        <v>2</v>
      </c>
      <c r="L70" s="244">
        <v>2</v>
      </c>
      <c r="M70" s="244">
        <v>2</v>
      </c>
      <c r="N70" s="252">
        <v>2</v>
      </c>
    </row>
    <row r="71" spans="1:28" ht="11" thickBot="1" x14ac:dyDescent="0.3">
      <c r="A71" s="262"/>
      <c r="B71" s="281" t="s">
        <v>353</v>
      </c>
      <c r="C71" s="244">
        <v>0</v>
      </c>
      <c r="D71" s="260">
        <v>0</v>
      </c>
      <c r="E71" s="260">
        <v>0</v>
      </c>
      <c r="F71" s="260">
        <v>0</v>
      </c>
      <c r="G71" s="260">
        <v>0</v>
      </c>
      <c r="H71" s="260">
        <v>0</v>
      </c>
      <c r="I71" s="260">
        <v>0</v>
      </c>
      <c r="J71" s="260">
        <v>0</v>
      </c>
      <c r="K71" s="260">
        <v>0</v>
      </c>
      <c r="L71" s="260">
        <v>0</v>
      </c>
      <c r="M71" s="260">
        <v>0</v>
      </c>
      <c r="N71" s="252">
        <v>0</v>
      </c>
    </row>
    <row r="72" spans="1:28" ht="11" thickBot="1" x14ac:dyDescent="0.3">
      <c r="A72" s="262"/>
      <c r="B72" s="282" t="s">
        <v>383</v>
      </c>
      <c r="C72" s="250">
        <v>8</v>
      </c>
      <c r="D72" s="261">
        <v>8</v>
      </c>
      <c r="E72" s="261">
        <v>8</v>
      </c>
      <c r="F72" s="261">
        <v>8</v>
      </c>
      <c r="G72" s="261">
        <v>7.15</v>
      </c>
      <c r="H72" s="261">
        <v>7.15</v>
      </c>
      <c r="I72" s="261">
        <v>7.15</v>
      </c>
      <c r="J72" s="261">
        <v>6.3</v>
      </c>
      <c r="K72" s="261">
        <v>6.3</v>
      </c>
      <c r="L72" s="261">
        <v>6.3</v>
      </c>
      <c r="M72" s="250">
        <v>6.3</v>
      </c>
      <c r="N72" s="250">
        <v>6.3</v>
      </c>
      <c r="O72" s="251">
        <v>7.0791666666666657</v>
      </c>
    </row>
    <row r="73" spans="1:28" ht="10.5" x14ac:dyDescent="0.25">
      <c r="A73" s="279"/>
      <c r="B73" s="240" t="s">
        <v>384</v>
      </c>
      <c r="C73" s="241">
        <v>174</v>
      </c>
      <c r="D73" s="241">
        <v>174</v>
      </c>
      <c r="E73" s="241">
        <v>174</v>
      </c>
      <c r="F73" s="241">
        <v>174</v>
      </c>
      <c r="G73" s="241">
        <v>173</v>
      </c>
      <c r="H73" s="241">
        <v>173</v>
      </c>
      <c r="I73" s="241">
        <v>171</v>
      </c>
      <c r="J73" s="241">
        <v>169</v>
      </c>
      <c r="K73" s="241">
        <v>169</v>
      </c>
      <c r="L73" s="241">
        <v>170</v>
      </c>
      <c r="M73" s="241">
        <v>170</v>
      </c>
      <c r="N73" s="278">
        <v>169</v>
      </c>
    </row>
    <row r="74" spans="1:28" x14ac:dyDescent="0.2">
      <c r="A74" s="236"/>
      <c r="B74" s="243" t="s">
        <v>385</v>
      </c>
      <c r="C74" s="283">
        <v>6</v>
      </c>
      <c r="D74" s="283">
        <v>6</v>
      </c>
      <c r="E74" s="283">
        <v>6</v>
      </c>
      <c r="F74" s="283">
        <v>6</v>
      </c>
      <c r="G74" s="283">
        <v>7</v>
      </c>
      <c r="H74" s="283">
        <v>6</v>
      </c>
      <c r="I74" s="283">
        <v>6</v>
      </c>
      <c r="J74" s="283">
        <v>7</v>
      </c>
      <c r="K74" s="283">
        <v>5</v>
      </c>
      <c r="L74" s="283">
        <v>5</v>
      </c>
      <c r="M74" s="283">
        <v>4</v>
      </c>
      <c r="N74" s="252">
        <v>4</v>
      </c>
    </row>
    <row r="75" spans="1:28" ht="10.5" thickBot="1" x14ac:dyDescent="0.25">
      <c r="A75" s="236"/>
      <c r="B75" s="243" t="s">
        <v>386</v>
      </c>
      <c r="C75" s="284">
        <v>12</v>
      </c>
      <c r="D75" s="284">
        <v>14</v>
      </c>
      <c r="E75" s="284">
        <v>13</v>
      </c>
      <c r="F75" s="284">
        <v>17</v>
      </c>
      <c r="G75" s="284">
        <v>17</v>
      </c>
      <c r="H75" s="284">
        <v>20</v>
      </c>
      <c r="I75" s="284">
        <v>20</v>
      </c>
      <c r="J75" s="284">
        <v>19</v>
      </c>
      <c r="K75" s="284">
        <v>20</v>
      </c>
      <c r="L75" s="284">
        <v>17</v>
      </c>
      <c r="M75" s="284">
        <v>13</v>
      </c>
      <c r="N75" s="247">
        <v>14</v>
      </c>
    </row>
    <row r="76" spans="1:28" ht="11" thickBot="1" x14ac:dyDescent="0.3">
      <c r="A76" s="236"/>
      <c r="B76" s="248" t="s">
        <v>387</v>
      </c>
      <c r="C76" s="249">
        <v>186.9</v>
      </c>
      <c r="D76" s="249">
        <v>188.9</v>
      </c>
      <c r="E76" s="249">
        <v>187.9</v>
      </c>
      <c r="F76" s="249">
        <v>191.9</v>
      </c>
      <c r="G76" s="249">
        <v>191.05</v>
      </c>
      <c r="H76" s="249">
        <v>193.9</v>
      </c>
      <c r="I76" s="249">
        <v>191.9</v>
      </c>
      <c r="J76" s="249">
        <v>189.05</v>
      </c>
      <c r="K76" s="249">
        <v>189.75</v>
      </c>
      <c r="L76" s="249">
        <v>187.75</v>
      </c>
      <c r="M76" s="249">
        <v>183.6</v>
      </c>
      <c r="N76" s="249">
        <v>183.6</v>
      </c>
      <c r="O76" s="251">
        <v>188.85000000000002</v>
      </c>
      <c r="P76" s="264" t="s">
        <v>388</v>
      </c>
      <c r="Q76" s="235">
        <v>174</v>
      </c>
      <c r="R76" s="235">
        <v>174</v>
      </c>
      <c r="S76" s="235">
        <v>174</v>
      </c>
      <c r="T76" s="235">
        <v>174</v>
      </c>
      <c r="U76" s="235">
        <v>173</v>
      </c>
      <c r="V76" s="235">
        <v>173</v>
      </c>
      <c r="W76" s="235">
        <v>171</v>
      </c>
      <c r="X76" s="235">
        <v>169</v>
      </c>
      <c r="Y76" s="235">
        <v>169</v>
      </c>
      <c r="Z76" s="235">
        <v>170</v>
      </c>
      <c r="AA76" s="235">
        <v>170</v>
      </c>
      <c r="AB76" s="235">
        <v>169</v>
      </c>
    </row>
    <row r="77" spans="1:28" x14ac:dyDescent="0.2">
      <c r="A77" s="236"/>
      <c r="B77" s="285" t="s">
        <v>389</v>
      </c>
      <c r="C77" s="286">
        <v>174</v>
      </c>
      <c r="D77" s="267">
        <v>174</v>
      </c>
      <c r="E77" s="267">
        <v>174</v>
      </c>
      <c r="F77" s="267">
        <v>174</v>
      </c>
      <c r="G77" s="267">
        <v>173.8</v>
      </c>
      <c r="H77" s="267">
        <v>173.66666666666666</v>
      </c>
      <c r="I77" s="267">
        <v>173.28571428571428</v>
      </c>
      <c r="J77" s="267">
        <v>172.75</v>
      </c>
      <c r="K77" s="267">
        <v>172.33333333333334</v>
      </c>
      <c r="L77" s="267">
        <v>172.1</v>
      </c>
      <c r="M77" s="267">
        <v>171.90909090909091</v>
      </c>
      <c r="N77" s="267">
        <v>171.66666666666666</v>
      </c>
      <c r="P77" s="264" t="s">
        <v>390</v>
      </c>
      <c r="Q77" s="235">
        <v>6</v>
      </c>
      <c r="R77" s="235">
        <v>6</v>
      </c>
      <c r="S77" s="235">
        <v>6</v>
      </c>
      <c r="T77" s="235">
        <v>6</v>
      </c>
      <c r="U77" s="235">
        <v>7</v>
      </c>
      <c r="V77" s="235">
        <v>6</v>
      </c>
      <c r="W77" s="235">
        <v>6</v>
      </c>
      <c r="X77" s="235">
        <v>7</v>
      </c>
      <c r="Y77" s="235">
        <v>5</v>
      </c>
      <c r="Z77" s="235">
        <v>5</v>
      </c>
      <c r="AA77" s="235">
        <v>4</v>
      </c>
      <c r="AB77" s="235">
        <v>4</v>
      </c>
    </row>
    <row r="78" spans="1:28" x14ac:dyDescent="0.2">
      <c r="A78" s="236"/>
      <c r="B78" s="285" t="s">
        <v>391</v>
      </c>
      <c r="C78" s="287">
        <v>6</v>
      </c>
      <c r="D78" s="271">
        <v>6</v>
      </c>
      <c r="E78" s="271">
        <v>6</v>
      </c>
      <c r="F78" s="271">
        <v>6</v>
      </c>
      <c r="G78" s="271">
        <v>6.2</v>
      </c>
      <c r="H78" s="271">
        <v>6.166666666666667</v>
      </c>
      <c r="I78" s="271">
        <v>6.1428571428571432</v>
      </c>
      <c r="J78" s="271">
        <v>6.25</v>
      </c>
      <c r="K78" s="271">
        <v>6.1111111111111107</v>
      </c>
      <c r="L78" s="271">
        <v>6</v>
      </c>
      <c r="M78" s="271">
        <v>5.8181818181818183</v>
      </c>
      <c r="N78" s="271">
        <v>5.666666666666667</v>
      </c>
      <c r="P78" s="264" t="s">
        <v>392</v>
      </c>
      <c r="Q78" s="235">
        <v>12</v>
      </c>
      <c r="R78" s="235">
        <v>14</v>
      </c>
      <c r="S78" s="235">
        <v>13</v>
      </c>
      <c r="T78" s="235">
        <v>17</v>
      </c>
      <c r="U78" s="235">
        <v>17</v>
      </c>
      <c r="V78" s="235">
        <v>20</v>
      </c>
      <c r="W78" s="235">
        <v>20</v>
      </c>
      <c r="X78" s="235">
        <v>19</v>
      </c>
      <c r="Y78" s="235">
        <v>20</v>
      </c>
      <c r="Z78" s="235">
        <v>17</v>
      </c>
      <c r="AA78" s="235">
        <v>13</v>
      </c>
      <c r="AB78" s="235">
        <v>14</v>
      </c>
    </row>
    <row r="79" spans="1:28" ht="10.5" thickBot="1" x14ac:dyDescent="0.25">
      <c r="A79" s="236"/>
      <c r="B79" s="285" t="s">
        <v>393</v>
      </c>
      <c r="C79" s="288">
        <v>12</v>
      </c>
      <c r="D79" s="271">
        <v>13</v>
      </c>
      <c r="E79" s="271">
        <v>13</v>
      </c>
      <c r="F79" s="271">
        <v>14</v>
      </c>
      <c r="G79" s="271">
        <v>14.6</v>
      </c>
      <c r="H79" s="272">
        <v>15.5</v>
      </c>
      <c r="I79" s="272">
        <v>16.142857142857142</v>
      </c>
      <c r="J79" s="272">
        <v>16.5</v>
      </c>
      <c r="K79" s="272">
        <v>16.888888888888889</v>
      </c>
      <c r="L79" s="272">
        <v>16.899999999999999</v>
      </c>
      <c r="M79" s="272">
        <v>16.545454545454547</v>
      </c>
      <c r="N79" s="271">
        <v>16.333333333333332</v>
      </c>
      <c r="P79" s="235" t="s">
        <v>394</v>
      </c>
      <c r="Q79" s="235">
        <v>174</v>
      </c>
      <c r="R79" s="235">
        <v>348</v>
      </c>
      <c r="S79" s="235">
        <v>522</v>
      </c>
      <c r="T79" s="235">
        <v>696</v>
      </c>
      <c r="U79" s="235">
        <v>869</v>
      </c>
      <c r="V79" s="235">
        <v>1042</v>
      </c>
      <c r="W79" s="235">
        <v>1213</v>
      </c>
      <c r="X79" s="235">
        <v>1382</v>
      </c>
      <c r="Y79" s="235">
        <v>1551</v>
      </c>
      <c r="Z79" s="235">
        <v>1721</v>
      </c>
      <c r="AA79" s="235">
        <v>1891</v>
      </c>
      <c r="AB79" s="235">
        <v>2060</v>
      </c>
    </row>
    <row r="80" spans="1:28" ht="11" thickBot="1" x14ac:dyDescent="0.3">
      <c r="A80" s="236"/>
      <c r="B80" s="273" t="s">
        <v>395</v>
      </c>
      <c r="C80" s="274">
        <v>186.9</v>
      </c>
      <c r="D80" s="274">
        <v>187.9</v>
      </c>
      <c r="E80" s="274">
        <v>187.9</v>
      </c>
      <c r="F80" s="274">
        <v>188.9</v>
      </c>
      <c r="G80" s="274">
        <v>189.33</v>
      </c>
      <c r="H80" s="274">
        <v>190.09166666666667</v>
      </c>
      <c r="I80" s="274">
        <v>190.35</v>
      </c>
      <c r="J80" s="274">
        <v>190.1875</v>
      </c>
      <c r="K80" s="274">
        <v>190.13888888888889</v>
      </c>
      <c r="L80" s="274">
        <v>189.9</v>
      </c>
      <c r="M80" s="274">
        <v>189.32727272727271</v>
      </c>
      <c r="N80" s="274">
        <v>188.85</v>
      </c>
      <c r="P80" s="235" t="s">
        <v>396</v>
      </c>
      <c r="Q80" s="235">
        <v>6</v>
      </c>
      <c r="R80" s="235">
        <v>12</v>
      </c>
      <c r="S80" s="235">
        <v>18</v>
      </c>
      <c r="T80" s="235">
        <v>24</v>
      </c>
      <c r="U80" s="235">
        <v>31</v>
      </c>
      <c r="V80" s="235">
        <v>37</v>
      </c>
      <c r="W80" s="235">
        <v>43</v>
      </c>
      <c r="X80" s="235">
        <v>50</v>
      </c>
      <c r="Y80" s="235">
        <v>55</v>
      </c>
      <c r="Z80" s="235">
        <v>60</v>
      </c>
      <c r="AA80" s="235">
        <v>64</v>
      </c>
      <c r="AB80" s="235">
        <v>68</v>
      </c>
    </row>
    <row r="81" spans="1:28" ht="10.5" x14ac:dyDescent="0.25">
      <c r="A81" s="236"/>
      <c r="B81" s="289"/>
      <c r="C81" s="290"/>
      <c r="P81" s="235" t="s">
        <v>397</v>
      </c>
      <c r="Q81" s="235">
        <v>12</v>
      </c>
      <c r="R81" s="235">
        <v>26</v>
      </c>
      <c r="S81" s="235">
        <v>39</v>
      </c>
      <c r="T81" s="235">
        <v>56</v>
      </c>
      <c r="U81" s="235">
        <v>73</v>
      </c>
      <c r="V81" s="235">
        <v>93</v>
      </c>
      <c r="W81" s="235">
        <v>113</v>
      </c>
      <c r="X81" s="235">
        <v>132</v>
      </c>
      <c r="Y81" s="235">
        <v>152</v>
      </c>
      <c r="Z81" s="235">
        <v>169</v>
      </c>
      <c r="AA81" s="235">
        <v>182</v>
      </c>
      <c r="AB81" s="235">
        <v>196</v>
      </c>
    </row>
    <row r="82" spans="1:28" ht="10.5" x14ac:dyDescent="0.25">
      <c r="A82" s="291"/>
      <c r="B82" s="292"/>
      <c r="C82" s="293"/>
      <c r="D82" s="294"/>
    </row>
    <row r="83" spans="1:28" x14ac:dyDescent="0.2">
      <c r="A83" s="236"/>
    </row>
    <row r="84" spans="1:28" ht="10.5" thickBot="1" x14ac:dyDescent="0.25">
      <c r="A84" s="236"/>
    </row>
    <row r="85" spans="1:28" ht="15.5" x14ac:dyDescent="0.35">
      <c r="B85" s="276" t="s">
        <v>398</v>
      </c>
      <c r="C85" s="984" t="s">
        <v>309</v>
      </c>
      <c r="D85" s="985"/>
      <c r="E85" s="985"/>
      <c r="F85" s="985"/>
      <c r="G85" s="985"/>
      <c r="H85" s="985"/>
      <c r="I85" s="985"/>
      <c r="J85" s="985"/>
      <c r="K85" s="985"/>
      <c r="L85" s="985"/>
      <c r="M85" s="985"/>
      <c r="N85" s="986"/>
    </row>
    <row r="86" spans="1:28" x14ac:dyDescent="0.2">
      <c r="B86" s="277"/>
      <c r="C86" s="987" t="s">
        <v>310</v>
      </c>
      <c r="D86" s="987" t="s">
        <v>311</v>
      </c>
      <c r="E86" s="987" t="s">
        <v>312</v>
      </c>
      <c r="F86" s="987" t="s">
        <v>313</v>
      </c>
      <c r="G86" s="987" t="s">
        <v>314</v>
      </c>
      <c r="H86" s="987" t="s">
        <v>315</v>
      </c>
      <c r="I86" s="987" t="s">
        <v>316</v>
      </c>
      <c r="J86" s="987" t="s">
        <v>317</v>
      </c>
      <c r="K86" s="987" t="s">
        <v>318</v>
      </c>
      <c r="L86" s="987" t="s">
        <v>319</v>
      </c>
      <c r="M86" s="987" t="s">
        <v>320</v>
      </c>
      <c r="N86" s="987" t="s">
        <v>321</v>
      </c>
    </row>
    <row r="87" spans="1:28" ht="12" thickBot="1" x14ac:dyDescent="0.3">
      <c r="B87" s="239" t="s">
        <v>322</v>
      </c>
      <c r="C87" s="988"/>
      <c r="D87" s="988"/>
      <c r="E87" s="988"/>
      <c r="F87" s="988"/>
      <c r="G87" s="988"/>
      <c r="H87" s="988"/>
      <c r="I87" s="988"/>
      <c r="J87" s="988"/>
      <c r="K87" s="988"/>
      <c r="L87" s="988"/>
      <c r="M87" s="988"/>
      <c r="N87" s="988"/>
    </row>
    <row r="88" spans="1:28" x14ac:dyDescent="0.2">
      <c r="B88" s="252" t="s">
        <v>335</v>
      </c>
      <c r="C88" s="244">
        <v>31</v>
      </c>
      <c r="D88" s="244">
        <v>32</v>
      </c>
      <c r="E88" s="244">
        <v>30</v>
      </c>
      <c r="F88" s="244">
        <v>29</v>
      </c>
      <c r="G88" s="244">
        <v>29</v>
      </c>
      <c r="H88" s="244">
        <v>29</v>
      </c>
      <c r="I88" s="244">
        <v>29</v>
      </c>
      <c r="J88" s="244">
        <v>29</v>
      </c>
      <c r="K88" s="244">
        <v>28</v>
      </c>
      <c r="L88" s="244">
        <v>28</v>
      </c>
      <c r="M88" s="244">
        <v>28</v>
      </c>
      <c r="N88" s="278">
        <v>28</v>
      </c>
    </row>
    <row r="89" spans="1:28" x14ac:dyDescent="0.2">
      <c r="B89" s="252" t="s">
        <v>336</v>
      </c>
      <c r="C89" s="244">
        <v>0</v>
      </c>
      <c r="D89" s="244">
        <v>0</v>
      </c>
      <c r="E89" s="244">
        <v>0</v>
      </c>
      <c r="F89" s="244">
        <v>0</v>
      </c>
      <c r="G89" s="244">
        <v>0</v>
      </c>
      <c r="H89" s="244">
        <v>0</v>
      </c>
      <c r="I89" s="244">
        <v>0</v>
      </c>
      <c r="J89" s="244">
        <v>0</v>
      </c>
      <c r="K89" s="244">
        <v>0</v>
      </c>
      <c r="L89" s="244">
        <v>0</v>
      </c>
      <c r="M89" s="244">
        <v>0</v>
      </c>
      <c r="N89" s="252">
        <v>0</v>
      </c>
    </row>
    <row r="90" spans="1:28" ht="10.5" thickBot="1" x14ac:dyDescent="0.25">
      <c r="B90" s="252" t="s">
        <v>337</v>
      </c>
      <c r="C90" s="244">
        <v>1</v>
      </c>
      <c r="D90" s="244">
        <v>1</v>
      </c>
      <c r="E90" s="244">
        <v>3</v>
      </c>
      <c r="F90" s="244">
        <v>3</v>
      </c>
      <c r="G90" s="244">
        <v>3</v>
      </c>
      <c r="H90" s="244">
        <v>3</v>
      </c>
      <c r="I90" s="244">
        <v>3</v>
      </c>
      <c r="J90" s="244">
        <v>2</v>
      </c>
      <c r="K90" s="244">
        <v>2</v>
      </c>
      <c r="L90" s="244">
        <v>2</v>
      </c>
      <c r="M90" s="244">
        <v>3</v>
      </c>
      <c r="N90" s="247">
        <v>3</v>
      </c>
    </row>
    <row r="91" spans="1:28" ht="11" thickBot="1" x14ac:dyDescent="0.3">
      <c r="B91" s="248" t="s">
        <v>399</v>
      </c>
      <c r="C91" s="250">
        <v>32</v>
      </c>
      <c r="D91" s="254">
        <v>33</v>
      </c>
      <c r="E91" s="254">
        <v>33</v>
      </c>
      <c r="F91" s="254">
        <v>32</v>
      </c>
      <c r="G91" s="254">
        <v>32</v>
      </c>
      <c r="H91" s="254">
        <v>32</v>
      </c>
      <c r="I91" s="254">
        <v>32</v>
      </c>
      <c r="J91" s="254">
        <v>31</v>
      </c>
      <c r="K91" s="254">
        <v>30</v>
      </c>
      <c r="L91" s="254">
        <v>30</v>
      </c>
      <c r="M91" s="254">
        <v>31</v>
      </c>
      <c r="N91" s="254">
        <v>31</v>
      </c>
      <c r="O91" s="251">
        <v>31.583333333333332</v>
      </c>
    </row>
    <row r="92" spans="1:28" x14ac:dyDescent="0.2">
      <c r="B92" s="258" t="s">
        <v>378</v>
      </c>
      <c r="C92" s="244">
        <v>3</v>
      </c>
      <c r="D92" s="244">
        <v>3</v>
      </c>
      <c r="E92" s="244">
        <v>3</v>
      </c>
      <c r="F92" s="244">
        <v>3</v>
      </c>
      <c r="G92" s="244">
        <v>3</v>
      </c>
      <c r="H92" s="244">
        <v>3</v>
      </c>
      <c r="I92" s="244">
        <v>3</v>
      </c>
      <c r="J92" s="244">
        <v>3</v>
      </c>
      <c r="K92" s="244">
        <v>3</v>
      </c>
      <c r="L92" s="244">
        <v>3</v>
      </c>
      <c r="M92" s="244">
        <v>3</v>
      </c>
      <c r="N92" s="278">
        <v>3</v>
      </c>
    </row>
    <row r="93" spans="1:28" x14ac:dyDescent="0.2">
      <c r="B93" s="258" t="s">
        <v>379</v>
      </c>
      <c r="C93" s="244">
        <v>0</v>
      </c>
      <c r="D93" s="244">
        <v>0</v>
      </c>
      <c r="E93" s="244">
        <v>0</v>
      </c>
      <c r="F93" s="244">
        <v>0</v>
      </c>
      <c r="G93" s="244">
        <v>0</v>
      </c>
      <c r="H93" s="244">
        <v>0</v>
      </c>
      <c r="I93" s="244">
        <v>0</v>
      </c>
      <c r="J93" s="244">
        <v>0</v>
      </c>
      <c r="K93" s="244">
        <v>0</v>
      </c>
      <c r="L93" s="244">
        <v>0</v>
      </c>
      <c r="M93" s="244">
        <v>0</v>
      </c>
      <c r="N93" s="252">
        <v>0</v>
      </c>
    </row>
    <row r="94" spans="1:28" ht="10.5" thickBot="1" x14ac:dyDescent="0.25">
      <c r="B94" s="258" t="s">
        <v>380</v>
      </c>
      <c r="C94" s="244">
        <v>0</v>
      </c>
      <c r="D94" s="244">
        <v>0</v>
      </c>
      <c r="E94" s="244">
        <v>0</v>
      </c>
      <c r="F94" s="244">
        <v>0</v>
      </c>
      <c r="G94" s="244">
        <v>0</v>
      </c>
      <c r="H94" s="244">
        <v>0</v>
      </c>
      <c r="I94" s="244">
        <v>0</v>
      </c>
      <c r="J94" s="244">
        <v>0</v>
      </c>
      <c r="K94" s="244">
        <v>0</v>
      </c>
      <c r="L94" s="244">
        <v>0</v>
      </c>
      <c r="M94" s="244">
        <v>0</v>
      </c>
      <c r="N94" s="247">
        <v>0</v>
      </c>
    </row>
    <row r="95" spans="1:28" ht="11" thickBot="1" x14ac:dyDescent="0.3">
      <c r="B95" s="256" t="s">
        <v>400</v>
      </c>
      <c r="C95" s="250">
        <v>3</v>
      </c>
      <c r="D95" s="254">
        <v>3</v>
      </c>
      <c r="E95" s="254">
        <v>3</v>
      </c>
      <c r="F95" s="254">
        <v>3</v>
      </c>
      <c r="G95" s="254">
        <v>3</v>
      </c>
      <c r="H95" s="254">
        <v>3</v>
      </c>
      <c r="I95" s="254">
        <v>3</v>
      </c>
      <c r="J95" s="254">
        <v>3</v>
      </c>
      <c r="K95" s="254">
        <v>3</v>
      </c>
      <c r="L95" s="254">
        <v>3</v>
      </c>
      <c r="M95" s="254">
        <v>3</v>
      </c>
      <c r="N95" s="254">
        <v>3</v>
      </c>
      <c r="O95" s="251">
        <v>3</v>
      </c>
    </row>
    <row r="96" spans="1:28" x14ac:dyDescent="0.2">
      <c r="B96" s="295" t="s">
        <v>347</v>
      </c>
      <c r="C96" s="244">
        <v>0</v>
      </c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44">
        <v>0</v>
      </c>
      <c r="J96" s="244">
        <v>0</v>
      </c>
      <c r="K96" s="244">
        <v>0</v>
      </c>
      <c r="L96" s="244">
        <v>0</v>
      </c>
      <c r="M96" s="244">
        <v>0</v>
      </c>
      <c r="N96" s="278">
        <v>0</v>
      </c>
    </row>
    <row r="97" spans="2:28" x14ac:dyDescent="0.2">
      <c r="B97" s="258" t="s">
        <v>348</v>
      </c>
      <c r="C97" s="244">
        <v>0</v>
      </c>
      <c r="D97" s="244">
        <v>0</v>
      </c>
      <c r="E97" s="244">
        <v>0</v>
      </c>
      <c r="F97" s="244">
        <v>0</v>
      </c>
      <c r="G97" s="244">
        <v>0</v>
      </c>
      <c r="H97" s="244">
        <v>0</v>
      </c>
      <c r="I97" s="244">
        <v>0</v>
      </c>
      <c r="J97" s="244">
        <v>0</v>
      </c>
      <c r="K97" s="244">
        <v>0</v>
      </c>
      <c r="L97" s="244">
        <v>0</v>
      </c>
      <c r="M97" s="244">
        <v>0</v>
      </c>
      <c r="N97" s="252">
        <v>0</v>
      </c>
    </row>
    <row r="98" spans="2:28" ht="10.5" thickBot="1" x14ac:dyDescent="0.25">
      <c r="B98" s="258" t="s">
        <v>349</v>
      </c>
      <c r="C98" s="244">
        <v>0</v>
      </c>
      <c r="D98" s="244">
        <v>0</v>
      </c>
      <c r="E98" s="244">
        <v>0</v>
      </c>
      <c r="F98" s="244">
        <v>0</v>
      </c>
      <c r="G98" s="244">
        <v>0</v>
      </c>
      <c r="H98" s="244">
        <v>0</v>
      </c>
      <c r="I98" s="244">
        <v>0</v>
      </c>
      <c r="J98" s="244">
        <v>0</v>
      </c>
      <c r="K98" s="244">
        <v>0</v>
      </c>
      <c r="L98" s="244">
        <v>0</v>
      </c>
      <c r="M98" s="244">
        <v>0</v>
      </c>
      <c r="N98" s="247">
        <v>0</v>
      </c>
    </row>
    <row r="99" spans="2:28" ht="11" thickBot="1" x14ac:dyDescent="0.3">
      <c r="B99" s="256" t="s">
        <v>401</v>
      </c>
      <c r="C99" s="250">
        <v>0</v>
      </c>
      <c r="D99" s="254">
        <v>0</v>
      </c>
      <c r="E99" s="254">
        <v>0</v>
      </c>
      <c r="F99" s="254">
        <v>0</v>
      </c>
      <c r="G99" s="254">
        <v>0</v>
      </c>
      <c r="H99" s="254">
        <v>0</v>
      </c>
      <c r="I99" s="254">
        <v>0</v>
      </c>
      <c r="J99" s="254">
        <v>0</v>
      </c>
      <c r="K99" s="254">
        <v>0</v>
      </c>
      <c r="L99" s="254">
        <v>0</v>
      </c>
      <c r="M99" s="254">
        <v>0</v>
      </c>
      <c r="N99" s="254">
        <v>0</v>
      </c>
      <c r="O99" s="251">
        <v>0</v>
      </c>
    </row>
    <row r="100" spans="2:28" x14ac:dyDescent="0.2">
      <c r="B100" s="252" t="s">
        <v>402</v>
      </c>
      <c r="C100" s="242">
        <v>34</v>
      </c>
      <c r="D100" s="241">
        <v>35</v>
      </c>
      <c r="E100" s="241">
        <v>33</v>
      </c>
      <c r="F100" s="241">
        <v>32</v>
      </c>
      <c r="G100" s="241">
        <v>32</v>
      </c>
      <c r="H100" s="241">
        <v>32</v>
      </c>
      <c r="I100" s="241">
        <v>32</v>
      </c>
      <c r="J100" s="241">
        <v>32</v>
      </c>
      <c r="K100" s="241">
        <v>31</v>
      </c>
      <c r="L100" s="241">
        <v>31</v>
      </c>
      <c r="M100" s="241">
        <v>31</v>
      </c>
      <c r="N100" s="242">
        <v>31</v>
      </c>
    </row>
    <row r="101" spans="2:28" x14ac:dyDescent="0.2">
      <c r="B101" s="252" t="s">
        <v>403</v>
      </c>
      <c r="C101" s="245">
        <v>0</v>
      </c>
      <c r="D101" s="244">
        <v>0</v>
      </c>
      <c r="E101" s="244">
        <v>0</v>
      </c>
      <c r="F101" s="244">
        <v>0</v>
      </c>
      <c r="G101" s="244">
        <v>0</v>
      </c>
      <c r="H101" s="244">
        <v>0</v>
      </c>
      <c r="I101" s="244">
        <v>0</v>
      </c>
      <c r="J101" s="244">
        <v>0</v>
      </c>
      <c r="K101" s="244">
        <v>0</v>
      </c>
      <c r="L101" s="244">
        <v>0</v>
      </c>
      <c r="M101" s="244">
        <v>0</v>
      </c>
      <c r="N101" s="245">
        <v>0</v>
      </c>
    </row>
    <row r="102" spans="2:28" ht="10.5" thickBot="1" x14ac:dyDescent="0.25">
      <c r="B102" s="252" t="s">
        <v>404</v>
      </c>
      <c r="C102" s="247">
        <v>1</v>
      </c>
      <c r="D102" s="246">
        <v>1</v>
      </c>
      <c r="E102" s="246">
        <v>3</v>
      </c>
      <c r="F102" s="246">
        <v>3</v>
      </c>
      <c r="G102" s="246">
        <v>3</v>
      </c>
      <c r="H102" s="246">
        <v>3</v>
      </c>
      <c r="I102" s="246">
        <v>3</v>
      </c>
      <c r="J102" s="246">
        <v>2</v>
      </c>
      <c r="K102" s="246">
        <v>2</v>
      </c>
      <c r="L102" s="246">
        <v>2</v>
      </c>
      <c r="M102" s="246">
        <v>3</v>
      </c>
      <c r="N102" s="247">
        <v>3</v>
      </c>
    </row>
    <row r="103" spans="2:28" ht="11" thickBot="1" x14ac:dyDescent="0.3">
      <c r="B103" s="248" t="s">
        <v>405</v>
      </c>
      <c r="C103" s="250">
        <v>35</v>
      </c>
      <c r="D103" s="254">
        <v>36</v>
      </c>
      <c r="E103" s="254">
        <v>36</v>
      </c>
      <c r="F103" s="254">
        <v>35</v>
      </c>
      <c r="G103" s="254">
        <v>35</v>
      </c>
      <c r="H103" s="254">
        <v>35</v>
      </c>
      <c r="I103" s="254">
        <v>35</v>
      </c>
      <c r="J103" s="254">
        <v>34</v>
      </c>
      <c r="K103" s="254">
        <v>33</v>
      </c>
      <c r="L103" s="254">
        <v>33</v>
      </c>
      <c r="M103" s="254">
        <v>34</v>
      </c>
      <c r="N103" s="254">
        <v>34</v>
      </c>
      <c r="O103" s="251">
        <v>34.583333333333336</v>
      </c>
      <c r="P103" s="264" t="s">
        <v>406</v>
      </c>
      <c r="Q103" s="235">
        <v>34</v>
      </c>
      <c r="R103" s="235">
        <v>35</v>
      </c>
      <c r="S103" s="235">
        <v>33</v>
      </c>
      <c r="T103" s="235">
        <v>32</v>
      </c>
      <c r="U103" s="235">
        <v>32</v>
      </c>
      <c r="V103" s="235">
        <v>32</v>
      </c>
      <c r="W103" s="235">
        <v>32</v>
      </c>
      <c r="X103" s="235">
        <v>32</v>
      </c>
      <c r="Y103" s="235">
        <v>31</v>
      </c>
      <c r="Z103" s="235">
        <v>31</v>
      </c>
      <c r="AA103" s="235">
        <v>31</v>
      </c>
      <c r="AB103" s="235">
        <v>31</v>
      </c>
    </row>
    <row r="104" spans="2:28" x14ac:dyDescent="0.2">
      <c r="B104" s="269" t="s">
        <v>407</v>
      </c>
      <c r="C104" s="296">
        <v>34</v>
      </c>
      <c r="D104" s="267">
        <v>34.5</v>
      </c>
      <c r="E104" s="267">
        <v>34</v>
      </c>
      <c r="F104" s="267">
        <v>33.5</v>
      </c>
      <c r="G104" s="267">
        <v>33.200000000000003</v>
      </c>
      <c r="H104" s="267">
        <v>33</v>
      </c>
      <c r="I104" s="267">
        <v>32.857142857142854</v>
      </c>
      <c r="J104" s="267">
        <v>32.75</v>
      </c>
      <c r="K104" s="267">
        <v>32.555555555555557</v>
      </c>
      <c r="L104" s="267">
        <v>32.4</v>
      </c>
      <c r="M104" s="267">
        <v>32.272727272727273</v>
      </c>
      <c r="N104" s="267">
        <v>32.166666666666664</v>
      </c>
      <c r="P104" s="264" t="s">
        <v>408</v>
      </c>
      <c r="Q104" s="235">
        <v>0</v>
      </c>
      <c r="R104" s="235">
        <v>0</v>
      </c>
      <c r="S104" s="235">
        <v>0</v>
      </c>
      <c r="T104" s="235">
        <v>0</v>
      </c>
      <c r="U104" s="235">
        <v>0</v>
      </c>
      <c r="V104" s="235">
        <v>0</v>
      </c>
      <c r="W104" s="235">
        <v>0</v>
      </c>
      <c r="X104" s="235">
        <v>0</v>
      </c>
      <c r="Y104" s="235">
        <v>0</v>
      </c>
      <c r="Z104" s="235">
        <v>0</v>
      </c>
      <c r="AA104" s="235">
        <v>0</v>
      </c>
      <c r="AB104" s="235">
        <v>0</v>
      </c>
    </row>
    <row r="105" spans="2:28" x14ac:dyDescent="0.2">
      <c r="B105" s="269" t="s">
        <v>409</v>
      </c>
      <c r="C105" s="287">
        <v>0</v>
      </c>
      <c r="D105" s="271">
        <v>0</v>
      </c>
      <c r="E105" s="271">
        <v>0</v>
      </c>
      <c r="F105" s="271">
        <v>0</v>
      </c>
      <c r="G105" s="271">
        <v>0</v>
      </c>
      <c r="H105" s="271">
        <v>0</v>
      </c>
      <c r="I105" s="271">
        <v>0</v>
      </c>
      <c r="J105" s="271">
        <v>0</v>
      </c>
      <c r="K105" s="271">
        <v>0</v>
      </c>
      <c r="L105" s="271">
        <v>0</v>
      </c>
      <c r="M105" s="271">
        <v>0</v>
      </c>
      <c r="N105" s="271">
        <v>0</v>
      </c>
      <c r="P105" s="264" t="s">
        <v>410</v>
      </c>
      <c r="Q105" s="235">
        <v>1</v>
      </c>
      <c r="R105" s="235">
        <v>1</v>
      </c>
      <c r="S105" s="235">
        <v>3</v>
      </c>
      <c r="T105" s="235">
        <v>3</v>
      </c>
      <c r="U105" s="235">
        <v>3</v>
      </c>
      <c r="V105" s="235">
        <v>3</v>
      </c>
      <c r="W105" s="235">
        <v>3</v>
      </c>
      <c r="X105" s="235">
        <v>2</v>
      </c>
      <c r="Y105" s="235">
        <v>2</v>
      </c>
      <c r="Z105" s="235">
        <v>2</v>
      </c>
      <c r="AA105" s="235">
        <v>3</v>
      </c>
      <c r="AB105" s="235">
        <v>3</v>
      </c>
    </row>
    <row r="106" spans="2:28" ht="10.5" thickBot="1" x14ac:dyDescent="0.25">
      <c r="B106" s="269" t="s">
        <v>411</v>
      </c>
      <c r="C106" s="288">
        <v>1</v>
      </c>
      <c r="D106" s="271">
        <v>1</v>
      </c>
      <c r="E106" s="271">
        <v>1.6666666666666667</v>
      </c>
      <c r="F106" s="271">
        <v>2</v>
      </c>
      <c r="G106" s="271">
        <v>2.2000000000000002</v>
      </c>
      <c r="H106" s="272">
        <v>2.3333333333333335</v>
      </c>
      <c r="I106" s="272">
        <v>2.4285714285714284</v>
      </c>
      <c r="J106" s="272">
        <v>2.375</v>
      </c>
      <c r="K106" s="272">
        <v>2.3333333333333335</v>
      </c>
      <c r="L106" s="272">
        <v>2.2999999999999998</v>
      </c>
      <c r="M106" s="272">
        <v>2.3636363636363638</v>
      </c>
      <c r="N106" s="271">
        <v>2.4166666666666665</v>
      </c>
      <c r="P106" s="235" t="s">
        <v>412</v>
      </c>
      <c r="Q106" s="235">
        <v>34</v>
      </c>
      <c r="R106" s="235">
        <v>69</v>
      </c>
      <c r="S106" s="235">
        <v>102</v>
      </c>
      <c r="T106" s="235">
        <v>134</v>
      </c>
      <c r="U106" s="235">
        <v>166</v>
      </c>
      <c r="V106" s="235">
        <v>198</v>
      </c>
      <c r="W106" s="235">
        <v>230</v>
      </c>
      <c r="X106" s="235">
        <v>262</v>
      </c>
      <c r="Y106" s="235">
        <v>293</v>
      </c>
      <c r="Z106" s="235">
        <v>324</v>
      </c>
      <c r="AA106" s="235">
        <v>355</v>
      </c>
      <c r="AB106" s="235">
        <v>386</v>
      </c>
    </row>
    <row r="107" spans="2:28" ht="11" thickBot="1" x14ac:dyDescent="0.3">
      <c r="B107" s="273" t="s">
        <v>413</v>
      </c>
      <c r="C107" s="274">
        <v>35</v>
      </c>
      <c r="D107" s="274">
        <v>35.5</v>
      </c>
      <c r="E107" s="274">
        <v>35.666666666666664</v>
      </c>
      <c r="F107" s="274">
        <v>35.5</v>
      </c>
      <c r="G107" s="274">
        <v>35.400000000000006</v>
      </c>
      <c r="H107" s="274">
        <v>35.333333333333336</v>
      </c>
      <c r="I107" s="274">
        <v>35.285714285714285</v>
      </c>
      <c r="J107" s="274">
        <v>35.125</v>
      </c>
      <c r="K107" s="274">
        <v>34.888888888888893</v>
      </c>
      <c r="L107" s="274">
        <v>34.699999999999996</v>
      </c>
      <c r="M107" s="274">
        <v>34.63636363636364</v>
      </c>
      <c r="N107" s="274">
        <v>34.583333333333329</v>
      </c>
      <c r="O107" s="251"/>
      <c r="P107" s="235" t="s">
        <v>414</v>
      </c>
      <c r="Q107" s="235">
        <v>0</v>
      </c>
      <c r="R107" s="235">
        <v>0</v>
      </c>
      <c r="S107" s="235">
        <v>0</v>
      </c>
      <c r="T107" s="235">
        <v>0</v>
      </c>
      <c r="U107" s="235">
        <v>0</v>
      </c>
      <c r="V107" s="235">
        <v>0</v>
      </c>
      <c r="W107" s="235">
        <v>0</v>
      </c>
      <c r="X107" s="235">
        <v>0</v>
      </c>
      <c r="Y107" s="235">
        <v>0</v>
      </c>
      <c r="Z107" s="235">
        <v>0</v>
      </c>
      <c r="AA107" s="235">
        <v>0</v>
      </c>
      <c r="AB107" s="235">
        <v>0</v>
      </c>
    </row>
    <row r="108" spans="2:28" x14ac:dyDescent="0.2">
      <c r="P108" s="235" t="s">
        <v>415</v>
      </c>
      <c r="Q108" s="235">
        <v>1</v>
      </c>
      <c r="R108" s="235">
        <v>2</v>
      </c>
      <c r="S108" s="235">
        <v>5</v>
      </c>
      <c r="T108" s="235">
        <v>8</v>
      </c>
      <c r="U108" s="235">
        <v>11</v>
      </c>
      <c r="V108" s="235">
        <v>14</v>
      </c>
      <c r="W108" s="235">
        <v>17</v>
      </c>
      <c r="X108" s="235">
        <v>19</v>
      </c>
      <c r="Y108" s="235">
        <v>21</v>
      </c>
      <c r="Z108" s="235">
        <v>23</v>
      </c>
      <c r="AA108" s="235">
        <v>26</v>
      </c>
      <c r="AB108" s="235">
        <v>29</v>
      </c>
    </row>
    <row r="111" spans="2:28" ht="10.5" x14ac:dyDescent="0.25">
      <c r="B111" s="289"/>
      <c r="C111" s="290"/>
    </row>
    <row r="112" spans="2:28" ht="11" thickBot="1" x14ac:dyDescent="0.3">
      <c r="B112" s="292"/>
      <c r="C112" s="290"/>
    </row>
    <row r="113" spans="1:15" ht="15.5" x14ac:dyDescent="0.35">
      <c r="B113" s="237" t="s">
        <v>1</v>
      </c>
      <c r="C113" s="984" t="s">
        <v>309</v>
      </c>
      <c r="D113" s="985"/>
      <c r="E113" s="985"/>
      <c r="F113" s="985"/>
      <c r="G113" s="985"/>
      <c r="H113" s="985"/>
      <c r="I113" s="985"/>
      <c r="J113" s="985"/>
      <c r="K113" s="985"/>
      <c r="L113" s="985"/>
      <c r="M113" s="985"/>
      <c r="N113" s="986"/>
    </row>
    <row r="114" spans="1:15" x14ac:dyDescent="0.2">
      <c r="B114" s="238"/>
      <c r="C114" s="987" t="s">
        <v>310</v>
      </c>
      <c r="D114" s="987" t="s">
        <v>311</v>
      </c>
      <c r="E114" s="987" t="s">
        <v>312</v>
      </c>
      <c r="F114" s="987" t="s">
        <v>313</v>
      </c>
      <c r="G114" s="987" t="s">
        <v>314</v>
      </c>
      <c r="H114" s="987" t="s">
        <v>315</v>
      </c>
      <c r="I114" s="987" t="s">
        <v>316</v>
      </c>
      <c r="J114" s="987" t="s">
        <v>317</v>
      </c>
      <c r="K114" s="987" t="s">
        <v>318</v>
      </c>
      <c r="L114" s="987" t="s">
        <v>319</v>
      </c>
      <c r="M114" s="987" t="s">
        <v>320</v>
      </c>
      <c r="N114" s="987" t="s">
        <v>321</v>
      </c>
    </row>
    <row r="115" spans="1:15" ht="12" thickBot="1" x14ac:dyDescent="0.3">
      <c r="A115" s="262"/>
      <c r="B115" s="239" t="s">
        <v>322</v>
      </c>
      <c r="C115" s="988"/>
      <c r="D115" s="988"/>
      <c r="E115" s="988"/>
      <c r="F115" s="988"/>
      <c r="G115" s="988"/>
      <c r="H115" s="988"/>
      <c r="I115" s="988"/>
      <c r="J115" s="988"/>
      <c r="K115" s="988"/>
      <c r="L115" s="988"/>
      <c r="M115" s="988"/>
      <c r="N115" s="988"/>
    </row>
    <row r="116" spans="1:15" x14ac:dyDescent="0.2">
      <c r="B116" s="278" t="s">
        <v>416</v>
      </c>
      <c r="C116" s="244">
        <v>140</v>
      </c>
      <c r="D116" s="244">
        <v>140</v>
      </c>
      <c r="E116" s="244">
        <v>139</v>
      </c>
      <c r="F116" s="244">
        <v>140</v>
      </c>
      <c r="G116" s="244">
        <v>141</v>
      </c>
      <c r="H116" s="244">
        <v>141</v>
      </c>
      <c r="I116" s="244">
        <v>141</v>
      </c>
      <c r="J116" s="244">
        <v>142</v>
      </c>
      <c r="K116" s="244">
        <v>142</v>
      </c>
      <c r="L116" s="244">
        <v>141</v>
      </c>
      <c r="M116" s="244">
        <v>141</v>
      </c>
      <c r="N116" s="278">
        <v>155</v>
      </c>
    </row>
    <row r="117" spans="1:15" x14ac:dyDescent="0.2">
      <c r="B117" s="252" t="s">
        <v>417</v>
      </c>
      <c r="C117" s="244">
        <v>22</v>
      </c>
      <c r="D117" s="244">
        <v>22</v>
      </c>
      <c r="E117" s="244">
        <v>21</v>
      </c>
      <c r="F117" s="244">
        <v>22</v>
      </c>
      <c r="G117" s="244">
        <v>21</v>
      </c>
      <c r="H117" s="244">
        <v>21</v>
      </c>
      <c r="I117" s="244">
        <v>19</v>
      </c>
      <c r="J117" s="244">
        <v>18</v>
      </c>
      <c r="K117" s="244">
        <v>16</v>
      </c>
      <c r="L117" s="244">
        <v>15</v>
      </c>
      <c r="M117" s="244">
        <v>15</v>
      </c>
      <c r="N117" s="252">
        <v>14</v>
      </c>
    </row>
    <row r="118" spans="1:15" ht="10.5" thickBot="1" x14ac:dyDescent="0.25">
      <c r="B118" s="252" t="s">
        <v>418</v>
      </c>
      <c r="C118" s="244">
        <v>45</v>
      </c>
      <c r="D118" s="244">
        <v>50</v>
      </c>
      <c r="E118" s="244">
        <v>49</v>
      </c>
      <c r="F118" s="244">
        <v>50</v>
      </c>
      <c r="G118" s="244">
        <v>49</v>
      </c>
      <c r="H118" s="244">
        <v>53</v>
      </c>
      <c r="I118" s="244">
        <v>54</v>
      </c>
      <c r="J118" s="244">
        <v>53</v>
      </c>
      <c r="K118" s="244">
        <v>52</v>
      </c>
      <c r="L118" s="244">
        <v>50</v>
      </c>
      <c r="M118" s="244">
        <v>50</v>
      </c>
      <c r="N118" s="247">
        <v>33</v>
      </c>
    </row>
    <row r="119" spans="1:15" ht="11" thickBot="1" x14ac:dyDescent="0.3">
      <c r="B119" s="248" t="s">
        <v>419</v>
      </c>
      <c r="C119" s="250">
        <v>188.3</v>
      </c>
      <c r="D119" s="254">
        <v>193.3</v>
      </c>
      <c r="E119" s="254">
        <v>191.15</v>
      </c>
      <c r="F119" s="254">
        <v>193.3</v>
      </c>
      <c r="G119" s="254">
        <v>193.15</v>
      </c>
      <c r="H119" s="254">
        <v>197.15</v>
      </c>
      <c r="I119" s="254">
        <v>197.85</v>
      </c>
      <c r="J119" s="254">
        <v>197.7</v>
      </c>
      <c r="K119" s="254">
        <v>196.4</v>
      </c>
      <c r="L119" s="254">
        <v>193.25</v>
      </c>
      <c r="M119" s="254">
        <v>193.25</v>
      </c>
      <c r="N119" s="254">
        <v>190.1</v>
      </c>
      <c r="O119" s="251">
        <v>193.74166666666667</v>
      </c>
    </row>
    <row r="120" spans="1:15" x14ac:dyDescent="0.2">
      <c r="B120" s="258" t="s">
        <v>378</v>
      </c>
      <c r="C120" s="244">
        <v>5</v>
      </c>
      <c r="D120" s="244">
        <v>5</v>
      </c>
      <c r="E120" s="244">
        <v>5</v>
      </c>
      <c r="F120" s="244">
        <v>5</v>
      </c>
      <c r="G120" s="244">
        <v>5</v>
      </c>
      <c r="H120" s="244">
        <v>5</v>
      </c>
      <c r="I120" s="244">
        <v>5</v>
      </c>
      <c r="J120" s="244">
        <v>6</v>
      </c>
      <c r="K120" s="244">
        <v>6</v>
      </c>
      <c r="L120" s="244">
        <v>6</v>
      </c>
      <c r="M120" s="244">
        <v>6</v>
      </c>
      <c r="N120" s="278">
        <v>6</v>
      </c>
    </row>
    <row r="121" spans="1:15" x14ac:dyDescent="0.2">
      <c r="B121" s="258" t="s">
        <v>379</v>
      </c>
      <c r="C121" s="244">
        <v>0</v>
      </c>
      <c r="D121" s="244">
        <v>0</v>
      </c>
      <c r="E121" s="244">
        <v>0</v>
      </c>
      <c r="F121" s="244">
        <v>0</v>
      </c>
      <c r="G121" s="244">
        <v>0</v>
      </c>
      <c r="H121" s="244">
        <v>0</v>
      </c>
      <c r="I121" s="244">
        <v>0</v>
      </c>
      <c r="J121" s="244">
        <v>0</v>
      </c>
      <c r="K121" s="244">
        <v>0</v>
      </c>
      <c r="L121" s="244">
        <v>0</v>
      </c>
      <c r="M121" s="244">
        <v>0</v>
      </c>
      <c r="N121" s="252">
        <v>0</v>
      </c>
    </row>
    <row r="122" spans="1:15" ht="10.5" thickBot="1" x14ac:dyDescent="0.25">
      <c r="B122" s="258" t="s">
        <v>380</v>
      </c>
      <c r="C122" s="244">
        <v>1</v>
      </c>
      <c r="D122" s="244">
        <v>1</v>
      </c>
      <c r="E122" s="244">
        <v>1</v>
      </c>
      <c r="F122" s="244">
        <v>1</v>
      </c>
      <c r="G122" s="244">
        <v>1</v>
      </c>
      <c r="H122" s="244">
        <v>1</v>
      </c>
      <c r="I122" s="244">
        <v>1</v>
      </c>
      <c r="J122" s="244">
        <v>0</v>
      </c>
      <c r="K122" s="244">
        <v>0</v>
      </c>
      <c r="L122" s="244">
        <v>0</v>
      </c>
      <c r="M122" s="244">
        <v>0</v>
      </c>
      <c r="N122" s="247">
        <v>0</v>
      </c>
    </row>
    <row r="123" spans="1:15" ht="11" thickBot="1" x14ac:dyDescent="0.3">
      <c r="B123" s="256" t="s">
        <v>420</v>
      </c>
      <c r="C123" s="250">
        <v>6</v>
      </c>
      <c r="D123" s="254">
        <v>6</v>
      </c>
      <c r="E123" s="254">
        <v>6</v>
      </c>
      <c r="F123" s="254">
        <v>6</v>
      </c>
      <c r="G123" s="254">
        <v>6</v>
      </c>
      <c r="H123" s="254">
        <v>6</v>
      </c>
      <c r="I123" s="254">
        <v>6</v>
      </c>
      <c r="J123" s="254">
        <v>6</v>
      </c>
      <c r="K123" s="254">
        <v>6</v>
      </c>
      <c r="L123" s="254">
        <v>6</v>
      </c>
      <c r="M123" s="254">
        <v>6</v>
      </c>
      <c r="N123" s="254">
        <v>6</v>
      </c>
      <c r="O123" s="251">
        <v>6</v>
      </c>
    </row>
    <row r="124" spans="1:15" x14ac:dyDescent="0.2">
      <c r="B124" s="295" t="s">
        <v>347</v>
      </c>
      <c r="C124" s="244">
        <v>2</v>
      </c>
      <c r="D124" s="244">
        <v>2</v>
      </c>
      <c r="E124" s="244">
        <v>2</v>
      </c>
      <c r="F124" s="244">
        <v>2</v>
      </c>
      <c r="G124" s="244">
        <v>2</v>
      </c>
      <c r="H124" s="244">
        <v>2</v>
      </c>
      <c r="I124" s="244">
        <v>2</v>
      </c>
      <c r="J124" s="244">
        <v>2</v>
      </c>
      <c r="K124" s="244">
        <v>2</v>
      </c>
      <c r="L124" s="244">
        <v>2</v>
      </c>
      <c r="M124" s="244">
        <v>2</v>
      </c>
      <c r="N124" s="278">
        <v>2</v>
      </c>
    </row>
    <row r="125" spans="1:15" x14ac:dyDescent="0.2">
      <c r="B125" s="258" t="s">
        <v>348</v>
      </c>
      <c r="C125" s="244">
        <v>0</v>
      </c>
      <c r="D125" s="244">
        <v>0</v>
      </c>
      <c r="E125" s="244">
        <v>0</v>
      </c>
      <c r="F125" s="244">
        <v>0</v>
      </c>
      <c r="G125" s="244">
        <v>0</v>
      </c>
      <c r="H125" s="244">
        <v>0</v>
      </c>
      <c r="I125" s="244">
        <v>0</v>
      </c>
      <c r="J125" s="244">
        <v>0</v>
      </c>
      <c r="K125" s="244">
        <v>0</v>
      </c>
      <c r="L125" s="244">
        <v>0</v>
      </c>
      <c r="M125" s="244">
        <v>0</v>
      </c>
      <c r="N125" s="252">
        <v>0</v>
      </c>
    </row>
    <row r="126" spans="1:15" ht="10.5" thickBot="1" x14ac:dyDescent="0.25">
      <c r="B126" s="258" t="s">
        <v>349</v>
      </c>
      <c r="C126" s="244">
        <v>0</v>
      </c>
      <c r="D126" s="244">
        <v>0</v>
      </c>
      <c r="E126" s="244">
        <v>0</v>
      </c>
      <c r="F126" s="244">
        <v>0</v>
      </c>
      <c r="G126" s="244">
        <v>0</v>
      </c>
      <c r="H126" s="244">
        <v>0</v>
      </c>
      <c r="I126" s="244">
        <v>0</v>
      </c>
      <c r="J126" s="244">
        <v>0</v>
      </c>
      <c r="K126" s="244">
        <v>0</v>
      </c>
      <c r="L126" s="244">
        <v>0</v>
      </c>
      <c r="M126" s="244">
        <v>0</v>
      </c>
      <c r="N126" s="247">
        <v>0</v>
      </c>
    </row>
    <row r="127" spans="1:15" ht="11" thickBot="1" x14ac:dyDescent="0.3">
      <c r="B127" s="256" t="s">
        <v>421</v>
      </c>
      <c r="C127" s="250">
        <v>2</v>
      </c>
      <c r="D127" s="254">
        <v>2</v>
      </c>
      <c r="E127" s="254">
        <v>2</v>
      </c>
      <c r="F127" s="254">
        <v>2</v>
      </c>
      <c r="G127" s="254">
        <v>2</v>
      </c>
      <c r="H127" s="254">
        <v>2</v>
      </c>
      <c r="I127" s="254">
        <v>2</v>
      </c>
      <c r="J127" s="254">
        <v>2</v>
      </c>
      <c r="K127" s="254">
        <v>2</v>
      </c>
      <c r="L127" s="254">
        <v>2</v>
      </c>
      <c r="M127" s="254">
        <v>2</v>
      </c>
      <c r="N127" s="254">
        <v>2</v>
      </c>
      <c r="O127" s="251">
        <v>2</v>
      </c>
    </row>
    <row r="128" spans="1:15" x14ac:dyDescent="0.2">
      <c r="B128" s="295" t="s">
        <v>351</v>
      </c>
      <c r="C128" s="244">
        <v>6</v>
      </c>
      <c r="D128" s="244">
        <v>6</v>
      </c>
      <c r="E128" s="244">
        <v>6</v>
      </c>
      <c r="F128" s="244">
        <v>6</v>
      </c>
      <c r="G128" s="244">
        <v>6</v>
      </c>
      <c r="H128" s="244">
        <v>6</v>
      </c>
      <c r="I128" s="244">
        <v>6</v>
      </c>
      <c r="J128" s="244">
        <v>6</v>
      </c>
      <c r="K128" s="244">
        <v>6</v>
      </c>
      <c r="L128" s="244">
        <v>6</v>
      </c>
      <c r="M128" s="244">
        <v>6</v>
      </c>
      <c r="N128" s="278">
        <v>7</v>
      </c>
    </row>
    <row r="129" spans="1:28" x14ac:dyDescent="0.2">
      <c r="B129" s="258" t="s">
        <v>352</v>
      </c>
      <c r="C129" s="244">
        <v>0</v>
      </c>
      <c r="D129" s="244">
        <v>0</v>
      </c>
      <c r="E129" s="244">
        <v>0</v>
      </c>
      <c r="F129" s="244">
        <v>0</v>
      </c>
      <c r="G129" s="244">
        <v>0</v>
      </c>
      <c r="H129" s="244">
        <v>0</v>
      </c>
      <c r="I129" s="244">
        <v>0</v>
      </c>
      <c r="J129" s="244">
        <v>0</v>
      </c>
      <c r="K129" s="244">
        <v>0</v>
      </c>
      <c r="L129" s="244">
        <v>0</v>
      </c>
      <c r="M129" s="244">
        <v>0</v>
      </c>
      <c r="N129" s="252">
        <v>0</v>
      </c>
    </row>
    <row r="130" spans="1:28" ht="10.5" thickBot="1" x14ac:dyDescent="0.25">
      <c r="B130" s="258" t="s">
        <v>353</v>
      </c>
      <c r="C130" s="244">
        <v>3</v>
      </c>
      <c r="D130" s="244">
        <v>3</v>
      </c>
      <c r="E130" s="244">
        <v>3</v>
      </c>
      <c r="F130" s="244">
        <v>3</v>
      </c>
      <c r="G130" s="244">
        <v>3</v>
      </c>
      <c r="H130" s="244">
        <v>6</v>
      </c>
      <c r="I130" s="244">
        <v>6</v>
      </c>
      <c r="J130" s="244">
        <v>6</v>
      </c>
      <c r="K130" s="244">
        <v>6</v>
      </c>
      <c r="L130" s="244">
        <v>5</v>
      </c>
      <c r="M130" s="244">
        <v>3</v>
      </c>
      <c r="N130" s="247">
        <v>2</v>
      </c>
    </row>
    <row r="131" spans="1:28" ht="11" thickBot="1" x14ac:dyDescent="0.3">
      <c r="B131" s="256" t="s">
        <v>422</v>
      </c>
      <c r="C131" s="250">
        <v>9</v>
      </c>
      <c r="D131" s="250">
        <v>9</v>
      </c>
      <c r="E131" s="250">
        <v>9</v>
      </c>
      <c r="F131" s="250">
        <v>9</v>
      </c>
      <c r="G131" s="250">
        <v>9</v>
      </c>
      <c r="H131" s="250">
        <v>12</v>
      </c>
      <c r="I131" s="250">
        <v>12</v>
      </c>
      <c r="J131" s="250">
        <v>12</v>
      </c>
      <c r="K131" s="250">
        <v>12</v>
      </c>
      <c r="L131" s="250">
        <v>11</v>
      </c>
      <c r="M131" s="250">
        <v>9</v>
      </c>
      <c r="N131" s="250">
        <v>9</v>
      </c>
      <c r="O131" s="251">
        <v>10.166666666666666</v>
      </c>
    </row>
    <row r="132" spans="1:28" x14ac:dyDescent="0.2">
      <c r="B132" s="258" t="s">
        <v>423</v>
      </c>
      <c r="C132" s="242">
        <v>153</v>
      </c>
      <c r="D132" s="242">
        <v>153</v>
      </c>
      <c r="E132" s="242">
        <v>152</v>
      </c>
      <c r="F132" s="242">
        <v>153</v>
      </c>
      <c r="G132" s="242">
        <v>154</v>
      </c>
      <c r="H132" s="242">
        <v>154</v>
      </c>
      <c r="I132" s="242">
        <v>154</v>
      </c>
      <c r="J132" s="242">
        <v>156</v>
      </c>
      <c r="K132" s="242">
        <v>156</v>
      </c>
      <c r="L132" s="242">
        <v>155</v>
      </c>
      <c r="M132" s="242">
        <v>155</v>
      </c>
      <c r="N132" s="242">
        <v>170</v>
      </c>
    </row>
    <row r="133" spans="1:28" x14ac:dyDescent="0.2">
      <c r="B133" s="258" t="s">
        <v>424</v>
      </c>
      <c r="C133" s="252">
        <v>22</v>
      </c>
      <c r="D133" s="252">
        <v>22</v>
      </c>
      <c r="E133" s="252">
        <v>21</v>
      </c>
      <c r="F133" s="252">
        <v>22</v>
      </c>
      <c r="G133" s="252">
        <v>21</v>
      </c>
      <c r="H133" s="252">
        <v>21</v>
      </c>
      <c r="I133" s="252">
        <v>19</v>
      </c>
      <c r="J133" s="252">
        <v>18</v>
      </c>
      <c r="K133" s="252">
        <v>16</v>
      </c>
      <c r="L133" s="252">
        <v>15</v>
      </c>
      <c r="M133" s="252">
        <v>15</v>
      </c>
      <c r="N133" s="252">
        <v>14</v>
      </c>
    </row>
    <row r="134" spans="1:28" ht="10.5" thickBot="1" x14ac:dyDescent="0.25">
      <c r="B134" s="258" t="s">
        <v>425</v>
      </c>
      <c r="C134" s="297">
        <v>49</v>
      </c>
      <c r="D134" s="297">
        <v>54</v>
      </c>
      <c r="E134" s="297">
        <v>53</v>
      </c>
      <c r="F134" s="297">
        <v>54</v>
      </c>
      <c r="G134" s="297">
        <v>53</v>
      </c>
      <c r="H134" s="297">
        <v>60</v>
      </c>
      <c r="I134" s="297">
        <v>61</v>
      </c>
      <c r="J134" s="297">
        <v>59</v>
      </c>
      <c r="K134" s="297">
        <v>58</v>
      </c>
      <c r="L134" s="297">
        <v>55</v>
      </c>
      <c r="M134" s="297">
        <v>53</v>
      </c>
      <c r="N134" s="297">
        <v>35</v>
      </c>
    </row>
    <row r="135" spans="1:28" ht="11" thickBot="1" x14ac:dyDescent="0.3">
      <c r="B135" s="256" t="s">
        <v>426</v>
      </c>
      <c r="C135" s="250">
        <v>205.3</v>
      </c>
      <c r="D135" s="250">
        <v>210.3</v>
      </c>
      <c r="E135" s="250">
        <v>208.15</v>
      </c>
      <c r="F135" s="250">
        <v>210.3</v>
      </c>
      <c r="G135" s="250">
        <v>210.15</v>
      </c>
      <c r="H135" s="250">
        <v>217.15</v>
      </c>
      <c r="I135" s="250">
        <v>217.85</v>
      </c>
      <c r="J135" s="250">
        <v>217.7</v>
      </c>
      <c r="K135" s="250">
        <v>216.4</v>
      </c>
      <c r="L135" s="250">
        <v>212.25</v>
      </c>
      <c r="M135" s="250">
        <v>210.25</v>
      </c>
      <c r="N135" s="250">
        <v>207.1</v>
      </c>
      <c r="O135" s="251">
        <v>211.90833333333333</v>
      </c>
      <c r="P135" s="264" t="s">
        <v>427</v>
      </c>
      <c r="Q135" s="235">
        <v>153</v>
      </c>
      <c r="R135" s="235">
        <v>153</v>
      </c>
      <c r="S135" s="235">
        <v>152</v>
      </c>
      <c r="T135" s="235">
        <v>153</v>
      </c>
      <c r="U135" s="235">
        <v>154</v>
      </c>
      <c r="V135" s="235">
        <v>154</v>
      </c>
      <c r="W135" s="235">
        <v>154</v>
      </c>
      <c r="X135" s="235">
        <v>156</v>
      </c>
      <c r="Y135" s="235">
        <v>156</v>
      </c>
      <c r="Z135" s="235">
        <v>155</v>
      </c>
      <c r="AA135" s="235">
        <v>155</v>
      </c>
      <c r="AB135" s="235">
        <v>170</v>
      </c>
    </row>
    <row r="136" spans="1:28" x14ac:dyDescent="0.2">
      <c r="B136" s="269" t="s">
        <v>428</v>
      </c>
      <c r="C136" s="298">
        <v>153</v>
      </c>
      <c r="D136" s="267">
        <v>153</v>
      </c>
      <c r="E136" s="267">
        <v>152.66666666666666</v>
      </c>
      <c r="F136" s="267">
        <v>152.75</v>
      </c>
      <c r="G136" s="267">
        <v>153</v>
      </c>
      <c r="H136" s="267">
        <v>153.16666666666666</v>
      </c>
      <c r="I136" s="267">
        <v>153.28571428571428</v>
      </c>
      <c r="J136" s="267">
        <v>153.625</v>
      </c>
      <c r="K136" s="267">
        <v>153.88888888888889</v>
      </c>
      <c r="L136" s="267">
        <v>154</v>
      </c>
      <c r="M136" s="267">
        <v>154.09090909090909</v>
      </c>
      <c r="N136" s="267">
        <v>155.41666666666666</v>
      </c>
      <c r="P136" s="264" t="s">
        <v>429</v>
      </c>
      <c r="Q136" s="235">
        <v>22</v>
      </c>
      <c r="R136" s="235">
        <v>22</v>
      </c>
      <c r="S136" s="235">
        <v>21</v>
      </c>
      <c r="T136" s="235">
        <v>22</v>
      </c>
      <c r="U136" s="235">
        <v>21</v>
      </c>
      <c r="V136" s="235">
        <v>21</v>
      </c>
      <c r="W136" s="235">
        <v>19</v>
      </c>
      <c r="X136" s="235">
        <v>18</v>
      </c>
      <c r="Y136" s="235">
        <v>16</v>
      </c>
      <c r="Z136" s="235">
        <v>15</v>
      </c>
      <c r="AA136" s="235">
        <v>15</v>
      </c>
      <c r="AB136" s="235">
        <v>14</v>
      </c>
    </row>
    <row r="137" spans="1:28" x14ac:dyDescent="0.2">
      <c r="B137" s="269" t="s">
        <v>430</v>
      </c>
      <c r="C137" s="270">
        <v>22</v>
      </c>
      <c r="D137" s="271">
        <v>22</v>
      </c>
      <c r="E137" s="271">
        <v>21.666666666666668</v>
      </c>
      <c r="F137" s="271">
        <v>21.75</v>
      </c>
      <c r="G137" s="271">
        <v>21.6</v>
      </c>
      <c r="H137" s="271">
        <v>21.5</v>
      </c>
      <c r="I137" s="271">
        <v>21.142857142857142</v>
      </c>
      <c r="J137" s="271">
        <v>20.75</v>
      </c>
      <c r="K137" s="271">
        <v>20.222222222222221</v>
      </c>
      <c r="L137" s="271">
        <v>19.7</v>
      </c>
      <c r="M137" s="271">
        <v>19.272727272727273</v>
      </c>
      <c r="N137" s="271">
        <v>18.833333333333332</v>
      </c>
      <c r="P137" s="264" t="s">
        <v>431</v>
      </c>
      <c r="Q137" s="235">
        <v>49</v>
      </c>
      <c r="R137" s="235">
        <v>54</v>
      </c>
      <c r="S137" s="235">
        <v>53</v>
      </c>
      <c r="T137" s="235">
        <v>54</v>
      </c>
      <c r="U137" s="235">
        <v>53</v>
      </c>
      <c r="V137" s="235">
        <v>60</v>
      </c>
      <c r="W137" s="235">
        <v>61</v>
      </c>
      <c r="X137" s="235">
        <v>59</v>
      </c>
      <c r="Y137" s="235">
        <v>58</v>
      </c>
      <c r="Z137" s="235">
        <v>55</v>
      </c>
      <c r="AA137" s="235">
        <v>53</v>
      </c>
      <c r="AB137" s="235">
        <v>35</v>
      </c>
    </row>
    <row r="138" spans="1:28" ht="10.5" thickBot="1" x14ac:dyDescent="0.25">
      <c r="B138" s="269" t="s">
        <v>432</v>
      </c>
      <c r="C138" s="299">
        <v>49</v>
      </c>
      <c r="D138" s="271">
        <v>51.5</v>
      </c>
      <c r="E138" s="271">
        <v>52</v>
      </c>
      <c r="F138" s="271">
        <v>52.5</v>
      </c>
      <c r="G138" s="271">
        <v>52.6</v>
      </c>
      <c r="H138" s="272">
        <v>53.833333333333336</v>
      </c>
      <c r="I138" s="272">
        <v>54.857142857142854</v>
      </c>
      <c r="J138" s="272">
        <v>55.375</v>
      </c>
      <c r="K138" s="272">
        <v>55.666666666666664</v>
      </c>
      <c r="L138" s="272">
        <v>55.6</v>
      </c>
      <c r="M138" s="272">
        <v>55.363636363636367</v>
      </c>
      <c r="N138" s="271">
        <v>53.666666666666664</v>
      </c>
      <c r="P138" s="235" t="s">
        <v>433</v>
      </c>
      <c r="Q138" s="235">
        <v>153</v>
      </c>
      <c r="R138" s="235">
        <v>306</v>
      </c>
      <c r="S138" s="235">
        <v>458</v>
      </c>
      <c r="T138" s="235">
        <v>611</v>
      </c>
      <c r="U138" s="235">
        <v>765</v>
      </c>
      <c r="V138" s="235">
        <v>919</v>
      </c>
      <c r="W138" s="235">
        <v>1073</v>
      </c>
      <c r="X138" s="235">
        <v>1229</v>
      </c>
      <c r="Y138" s="235">
        <v>1385</v>
      </c>
      <c r="Z138" s="235">
        <v>1540</v>
      </c>
      <c r="AA138" s="235">
        <v>1695</v>
      </c>
      <c r="AB138" s="235">
        <v>1865</v>
      </c>
    </row>
    <row r="139" spans="1:28" ht="11" thickBot="1" x14ac:dyDescent="0.3">
      <c r="B139" s="273" t="s">
        <v>434</v>
      </c>
      <c r="C139" s="274">
        <v>205.3</v>
      </c>
      <c r="D139" s="274">
        <v>207.8</v>
      </c>
      <c r="E139" s="274">
        <v>207.91666666666666</v>
      </c>
      <c r="F139" s="274">
        <v>208.51249999999999</v>
      </c>
      <c r="G139" s="274">
        <v>208.84</v>
      </c>
      <c r="H139" s="274">
        <v>210.22499999999999</v>
      </c>
      <c r="I139" s="274">
        <v>211.31428571428572</v>
      </c>
      <c r="J139" s="274">
        <v>212.11250000000001</v>
      </c>
      <c r="K139" s="274">
        <v>212.58888888888887</v>
      </c>
      <c r="L139" s="274">
        <v>212.55500000000001</v>
      </c>
      <c r="M139" s="274">
        <v>212.34545454545457</v>
      </c>
      <c r="N139" s="274">
        <v>211.9083333333333</v>
      </c>
      <c r="P139" s="235" t="s">
        <v>435</v>
      </c>
      <c r="Q139" s="235">
        <v>22</v>
      </c>
      <c r="R139" s="235">
        <v>44</v>
      </c>
      <c r="S139" s="235">
        <v>65</v>
      </c>
      <c r="T139" s="235">
        <v>87</v>
      </c>
      <c r="U139" s="235">
        <v>108</v>
      </c>
      <c r="V139" s="235">
        <v>129</v>
      </c>
      <c r="W139" s="235">
        <v>148</v>
      </c>
      <c r="X139" s="235">
        <v>166</v>
      </c>
      <c r="Y139" s="235">
        <v>182</v>
      </c>
      <c r="Z139" s="235">
        <v>197</v>
      </c>
      <c r="AA139" s="235">
        <v>212</v>
      </c>
      <c r="AB139" s="235">
        <v>226</v>
      </c>
    </row>
    <row r="140" spans="1:28" x14ac:dyDescent="0.2">
      <c r="P140" s="235" t="s">
        <v>436</v>
      </c>
      <c r="Q140" s="235">
        <v>49</v>
      </c>
      <c r="R140" s="235">
        <v>103</v>
      </c>
      <c r="S140" s="235">
        <v>156</v>
      </c>
      <c r="T140" s="235">
        <v>210</v>
      </c>
      <c r="U140" s="235">
        <v>263</v>
      </c>
      <c r="V140" s="235">
        <v>323</v>
      </c>
      <c r="W140" s="235">
        <v>384</v>
      </c>
      <c r="X140" s="235">
        <v>443</v>
      </c>
      <c r="Y140" s="235">
        <v>501</v>
      </c>
      <c r="Z140" s="235">
        <v>556</v>
      </c>
      <c r="AA140" s="235">
        <v>609</v>
      </c>
      <c r="AB140" s="235">
        <v>644</v>
      </c>
    </row>
    <row r="141" spans="1:28" x14ac:dyDescent="0.2"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</row>
    <row r="142" spans="1:28" ht="10.5" thickBot="1" x14ac:dyDescent="0.25"/>
    <row r="143" spans="1:28" ht="15.5" x14ac:dyDescent="0.35">
      <c r="B143" s="276" t="s">
        <v>437</v>
      </c>
      <c r="C143" s="984" t="s">
        <v>309</v>
      </c>
      <c r="D143" s="985"/>
      <c r="E143" s="985"/>
      <c r="F143" s="985"/>
      <c r="G143" s="985"/>
      <c r="H143" s="985"/>
      <c r="I143" s="985"/>
      <c r="J143" s="985"/>
      <c r="K143" s="985"/>
      <c r="L143" s="985"/>
      <c r="M143" s="985"/>
      <c r="N143" s="986"/>
    </row>
    <row r="144" spans="1:28" s="294" customFormat="1" x14ac:dyDescent="0.2">
      <c r="A144" s="235"/>
      <c r="B144" s="277"/>
      <c r="C144" s="987" t="s">
        <v>310</v>
      </c>
      <c r="D144" s="987" t="s">
        <v>311</v>
      </c>
      <c r="E144" s="987" t="s">
        <v>312</v>
      </c>
      <c r="F144" s="987" t="s">
        <v>313</v>
      </c>
      <c r="G144" s="987" t="s">
        <v>314</v>
      </c>
      <c r="H144" s="987" t="s">
        <v>315</v>
      </c>
      <c r="I144" s="987" t="s">
        <v>316</v>
      </c>
      <c r="J144" s="987" t="s">
        <v>317</v>
      </c>
      <c r="K144" s="987" t="s">
        <v>318</v>
      </c>
      <c r="L144" s="987" t="s">
        <v>319</v>
      </c>
      <c r="M144" s="987" t="s">
        <v>320</v>
      </c>
      <c r="N144" s="987" t="s">
        <v>321</v>
      </c>
    </row>
    <row r="145" spans="1:28" ht="12" thickBot="1" x14ac:dyDescent="0.3">
      <c r="B145" s="239" t="s">
        <v>322</v>
      </c>
      <c r="C145" s="988"/>
      <c r="D145" s="988"/>
      <c r="E145" s="988"/>
      <c r="F145" s="988"/>
      <c r="G145" s="988"/>
      <c r="H145" s="988"/>
      <c r="I145" s="988"/>
      <c r="J145" s="988"/>
      <c r="K145" s="988"/>
      <c r="L145" s="988"/>
      <c r="M145" s="988"/>
      <c r="N145" s="988"/>
    </row>
    <row r="146" spans="1:28" x14ac:dyDescent="0.2">
      <c r="A146" s="294"/>
      <c r="B146" s="252" t="s">
        <v>438</v>
      </c>
      <c r="C146" s="244">
        <v>2</v>
      </c>
      <c r="D146" s="244">
        <v>2</v>
      </c>
      <c r="E146" s="244">
        <v>2</v>
      </c>
      <c r="F146" s="244">
        <v>2</v>
      </c>
      <c r="G146" s="244">
        <v>2</v>
      </c>
      <c r="H146" s="244">
        <v>2</v>
      </c>
      <c r="I146" s="244">
        <v>2</v>
      </c>
      <c r="J146" s="244">
        <v>2</v>
      </c>
      <c r="K146" s="244">
        <v>2</v>
      </c>
      <c r="L146" s="244">
        <v>2</v>
      </c>
      <c r="M146" s="244">
        <v>2</v>
      </c>
      <c r="N146" s="278">
        <v>2</v>
      </c>
    </row>
    <row r="147" spans="1:28" ht="10.5" thickBot="1" x14ac:dyDescent="0.25">
      <c r="B147" s="252" t="s">
        <v>439</v>
      </c>
      <c r="C147" s="244">
        <v>0</v>
      </c>
      <c r="D147" s="244">
        <v>0</v>
      </c>
      <c r="E147" s="244">
        <v>0</v>
      </c>
      <c r="F147" s="244">
        <v>0</v>
      </c>
      <c r="G147" s="244">
        <v>0</v>
      </c>
      <c r="H147" s="244">
        <v>0</v>
      </c>
      <c r="I147" s="244">
        <v>0</v>
      </c>
      <c r="J147" s="244">
        <v>0</v>
      </c>
      <c r="K147" s="244">
        <v>0</v>
      </c>
      <c r="L147" s="244">
        <v>0</v>
      </c>
      <c r="M147" s="244">
        <v>0</v>
      </c>
      <c r="N147" s="247">
        <v>0</v>
      </c>
    </row>
    <row r="148" spans="1:28" ht="11" thickBot="1" x14ac:dyDescent="0.3">
      <c r="B148" s="248" t="s">
        <v>440</v>
      </c>
      <c r="C148" s="250">
        <v>2</v>
      </c>
      <c r="D148" s="254">
        <v>2</v>
      </c>
      <c r="E148" s="254">
        <v>2</v>
      </c>
      <c r="F148" s="254">
        <v>2</v>
      </c>
      <c r="G148" s="254">
        <v>2</v>
      </c>
      <c r="H148" s="254">
        <v>2</v>
      </c>
      <c r="I148" s="254">
        <v>2</v>
      </c>
      <c r="J148" s="254">
        <v>2</v>
      </c>
      <c r="K148" s="254">
        <v>2</v>
      </c>
      <c r="L148" s="254">
        <v>2</v>
      </c>
      <c r="M148" s="254">
        <v>2</v>
      </c>
      <c r="N148" s="254">
        <v>2</v>
      </c>
      <c r="O148" s="251">
        <v>2</v>
      </c>
    </row>
    <row r="149" spans="1:28" x14ac:dyDescent="0.2">
      <c r="B149" s="240" t="s">
        <v>441</v>
      </c>
      <c r="C149" s="242">
        <v>2</v>
      </c>
      <c r="D149" s="242">
        <v>2</v>
      </c>
      <c r="E149" s="242">
        <v>2</v>
      </c>
      <c r="F149" s="242">
        <v>2</v>
      </c>
      <c r="G149" s="242">
        <v>2</v>
      </c>
      <c r="H149" s="242">
        <v>2</v>
      </c>
      <c r="I149" s="242">
        <v>2</v>
      </c>
      <c r="J149" s="242">
        <v>2</v>
      </c>
      <c r="K149" s="242">
        <v>2</v>
      </c>
      <c r="L149" s="242">
        <v>2</v>
      </c>
      <c r="M149" s="242">
        <v>2</v>
      </c>
      <c r="N149" s="242">
        <v>2</v>
      </c>
    </row>
    <row r="150" spans="1:28" ht="10.5" thickBot="1" x14ac:dyDescent="0.25">
      <c r="B150" s="243" t="s">
        <v>442</v>
      </c>
      <c r="C150" s="297">
        <v>0</v>
      </c>
      <c r="D150" s="297">
        <v>0</v>
      </c>
      <c r="E150" s="297">
        <v>0</v>
      </c>
      <c r="F150" s="297">
        <v>0</v>
      </c>
      <c r="G150" s="297">
        <v>0</v>
      </c>
      <c r="H150" s="297">
        <v>0</v>
      </c>
      <c r="I150" s="297">
        <v>0</v>
      </c>
      <c r="J150" s="297">
        <v>0</v>
      </c>
      <c r="K150" s="297">
        <v>0</v>
      </c>
      <c r="L150" s="297">
        <v>0</v>
      </c>
      <c r="M150" s="297">
        <v>0</v>
      </c>
      <c r="N150" s="297">
        <v>0</v>
      </c>
    </row>
    <row r="151" spans="1:28" ht="11" thickBot="1" x14ac:dyDescent="0.3">
      <c r="B151" s="248" t="s">
        <v>443</v>
      </c>
      <c r="C151" s="250">
        <v>2</v>
      </c>
      <c r="D151" s="254">
        <v>2</v>
      </c>
      <c r="E151" s="254">
        <v>2</v>
      </c>
      <c r="F151" s="254">
        <v>2</v>
      </c>
      <c r="G151" s="254">
        <v>2</v>
      </c>
      <c r="H151" s="254">
        <v>2</v>
      </c>
      <c r="I151" s="254">
        <v>2</v>
      </c>
      <c r="J151" s="254">
        <v>2</v>
      </c>
      <c r="K151" s="254">
        <v>2</v>
      </c>
      <c r="L151" s="254">
        <v>2</v>
      </c>
      <c r="M151" s="254">
        <v>2</v>
      </c>
      <c r="N151" s="254">
        <v>2</v>
      </c>
      <c r="O151" s="251">
        <v>2</v>
      </c>
      <c r="P151" s="264" t="s">
        <v>444</v>
      </c>
      <c r="Q151" s="235">
        <v>2</v>
      </c>
      <c r="R151" s="235">
        <v>2</v>
      </c>
      <c r="S151" s="235">
        <v>2</v>
      </c>
      <c r="T151" s="235">
        <v>2</v>
      </c>
      <c r="U151" s="235">
        <v>2</v>
      </c>
      <c r="V151" s="235">
        <v>2</v>
      </c>
      <c r="W151" s="235">
        <v>2</v>
      </c>
      <c r="X151" s="235">
        <v>2</v>
      </c>
      <c r="Y151" s="235">
        <v>2</v>
      </c>
      <c r="Z151" s="235">
        <v>2</v>
      </c>
      <c r="AA151" s="235">
        <v>2</v>
      </c>
      <c r="AB151" s="235">
        <v>2</v>
      </c>
    </row>
    <row r="152" spans="1:28" x14ac:dyDescent="0.2">
      <c r="B152" s="269" t="s">
        <v>445</v>
      </c>
      <c r="C152" s="298">
        <v>2</v>
      </c>
      <c r="D152" s="300">
        <v>2</v>
      </c>
      <c r="E152" s="300">
        <v>2</v>
      </c>
      <c r="F152" s="300">
        <v>2</v>
      </c>
      <c r="G152" s="300">
        <v>2</v>
      </c>
      <c r="H152" s="300">
        <v>2</v>
      </c>
      <c r="I152" s="300">
        <v>2</v>
      </c>
      <c r="J152" s="300">
        <v>2</v>
      </c>
      <c r="K152" s="300">
        <v>2</v>
      </c>
      <c r="L152" s="300">
        <v>2</v>
      </c>
      <c r="M152" s="300">
        <v>2</v>
      </c>
      <c r="N152" s="300">
        <v>2</v>
      </c>
      <c r="P152" s="264" t="s">
        <v>446</v>
      </c>
      <c r="AB152" s="235">
        <v>2</v>
      </c>
    </row>
    <row r="153" spans="1:28" ht="10.5" thickBot="1" x14ac:dyDescent="0.25">
      <c r="B153" s="269" t="s">
        <v>447</v>
      </c>
      <c r="C153" s="299">
        <v>0</v>
      </c>
      <c r="D153" s="301">
        <v>0</v>
      </c>
      <c r="E153" s="301">
        <v>0</v>
      </c>
      <c r="F153" s="301">
        <v>0</v>
      </c>
      <c r="G153" s="301">
        <v>0</v>
      </c>
      <c r="H153" s="301">
        <v>0</v>
      </c>
      <c r="I153" s="301">
        <v>0</v>
      </c>
      <c r="J153" s="301">
        <v>0</v>
      </c>
      <c r="K153" s="301">
        <v>0</v>
      </c>
      <c r="L153" s="301">
        <v>0</v>
      </c>
      <c r="M153" s="301">
        <v>0</v>
      </c>
      <c r="N153" s="301">
        <v>0</v>
      </c>
      <c r="P153" s="264" t="s">
        <v>448</v>
      </c>
      <c r="Q153" s="235">
        <v>0</v>
      </c>
      <c r="R153" s="235">
        <v>0</v>
      </c>
      <c r="S153" s="235">
        <v>0</v>
      </c>
      <c r="T153" s="235">
        <v>0</v>
      </c>
      <c r="U153" s="235">
        <v>0</v>
      </c>
      <c r="V153" s="235">
        <v>0</v>
      </c>
      <c r="W153" s="235">
        <v>0</v>
      </c>
      <c r="X153" s="235">
        <v>0</v>
      </c>
      <c r="Y153" s="235">
        <v>0</v>
      </c>
      <c r="Z153" s="235">
        <v>0</v>
      </c>
      <c r="AA153" s="235">
        <v>0</v>
      </c>
      <c r="AB153" s="235">
        <v>0</v>
      </c>
    </row>
    <row r="154" spans="1:28" ht="11" thickBot="1" x14ac:dyDescent="0.3">
      <c r="B154" s="273" t="s">
        <v>449</v>
      </c>
      <c r="C154" s="274">
        <v>2</v>
      </c>
      <c r="D154" s="302">
        <v>2</v>
      </c>
      <c r="E154" s="302">
        <v>2</v>
      </c>
      <c r="F154" s="302">
        <v>2</v>
      </c>
      <c r="G154" s="302">
        <v>2</v>
      </c>
      <c r="H154" s="302">
        <v>2</v>
      </c>
      <c r="I154" s="302">
        <v>2</v>
      </c>
      <c r="J154" s="302">
        <v>2</v>
      </c>
      <c r="K154" s="302">
        <v>2</v>
      </c>
      <c r="L154" s="302">
        <v>2</v>
      </c>
      <c r="M154" s="302">
        <v>2</v>
      </c>
      <c r="N154" s="302">
        <v>2</v>
      </c>
      <c r="P154" s="235" t="s">
        <v>450</v>
      </c>
      <c r="Q154" s="235">
        <v>2</v>
      </c>
      <c r="R154" s="235">
        <v>4</v>
      </c>
      <c r="S154" s="235">
        <v>6</v>
      </c>
      <c r="T154" s="235">
        <v>8</v>
      </c>
      <c r="U154" s="235">
        <v>10</v>
      </c>
      <c r="V154" s="235">
        <v>12</v>
      </c>
      <c r="W154" s="235">
        <v>14</v>
      </c>
      <c r="X154" s="235">
        <v>16</v>
      </c>
      <c r="Y154" s="235">
        <v>18</v>
      </c>
      <c r="Z154" s="235">
        <v>20</v>
      </c>
      <c r="AA154" s="235">
        <v>22</v>
      </c>
      <c r="AB154" s="235">
        <v>24</v>
      </c>
    </row>
    <row r="155" spans="1:28" x14ac:dyDescent="0.2">
      <c r="P155" s="235" t="s">
        <v>451</v>
      </c>
      <c r="AB155" s="235">
        <v>2</v>
      </c>
    </row>
    <row r="156" spans="1:28" x14ac:dyDescent="0.2">
      <c r="P156" s="235" t="s">
        <v>452</v>
      </c>
      <c r="Q156" s="235">
        <v>0</v>
      </c>
      <c r="R156" s="235">
        <v>0</v>
      </c>
      <c r="S156" s="235">
        <v>0</v>
      </c>
      <c r="T156" s="235">
        <v>0</v>
      </c>
      <c r="U156" s="235">
        <v>0</v>
      </c>
      <c r="V156" s="235">
        <v>0</v>
      </c>
      <c r="W156" s="235">
        <v>0</v>
      </c>
      <c r="X156" s="235">
        <v>0</v>
      </c>
      <c r="Y156" s="235">
        <v>0</v>
      </c>
      <c r="Z156" s="235">
        <v>0</v>
      </c>
      <c r="AA156" s="235">
        <v>0</v>
      </c>
      <c r="AB156" s="235">
        <v>0</v>
      </c>
    </row>
    <row r="158" spans="1:28" ht="10.5" thickBot="1" x14ac:dyDescent="0.25"/>
    <row r="159" spans="1:28" ht="15.5" x14ac:dyDescent="0.35">
      <c r="B159" s="276" t="s">
        <v>453</v>
      </c>
      <c r="C159" s="984" t="s">
        <v>309</v>
      </c>
      <c r="D159" s="985"/>
      <c r="E159" s="985"/>
      <c r="F159" s="985"/>
      <c r="G159" s="985"/>
      <c r="H159" s="985"/>
      <c r="I159" s="985"/>
      <c r="J159" s="985"/>
      <c r="K159" s="985"/>
      <c r="L159" s="985"/>
      <c r="M159" s="985"/>
      <c r="N159" s="986"/>
    </row>
    <row r="160" spans="1:28" x14ac:dyDescent="0.2">
      <c r="B160" s="277"/>
      <c r="C160" s="987" t="s">
        <v>310</v>
      </c>
      <c r="D160" s="987" t="s">
        <v>311</v>
      </c>
      <c r="E160" s="987" t="s">
        <v>312</v>
      </c>
      <c r="F160" s="987" t="s">
        <v>313</v>
      </c>
      <c r="G160" s="987" t="s">
        <v>314</v>
      </c>
      <c r="H160" s="987" t="s">
        <v>315</v>
      </c>
      <c r="I160" s="987" t="s">
        <v>316</v>
      </c>
      <c r="J160" s="987" t="s">
        <v>317</v>
      </c>
      <c r="K160" s="987" t="s">
        <v>318</v>
      </c>
      <c r="L160" s="987" t="s">
        <v>319</v>
      </c>
      <c r="M160" s="987" t="s">
        <v>320</v>
      </c>
      <c r="N160" s="987" t="s">
        <v>321</v>
      </c>
    </row>
    <row r="161" spans="2:15" ht="12" thickBot="1" x14ac:dyDescent="0.3">
      <c r="B161" s="239" t="s">
        <v>322</v>
      </c>
      <c r="C161" s="988"/>
      <c r="D161" s="988"/>
      <c r="E161" s="988"/>
      <c r="F161" s="988"/>
      <c r="G161" s="988"/>
      <c r="H161" s="988"/>
      <c r="I161" s="988"/>
      <c r="J161" s="988"/>
      <c r="K161" s="988"/>
      <c r="L161" s="988"/>
      <c r="M161" s="988"/>
      <c r="N161" s="988"/>
    </row>
    <row r="162" spans="2:15" x14ac:dyDescent="0.2">
      <c r="B162" s="252" t="s">
        <v>454</v>
      </c>
      <c r="C162" s="244">
        <v>94</v>
      </c>
      <c r="D162" s="244">
        <v>94</v>
      </c>
      <c r="E162" s="244">
        <v>94</v>
      </c>
      <c r="F162" s="244">
        <v>94</v>
      </c>
      <c r="G162" s="244">
        <v>93</v>
      </c>
      <c r="H162" s="244">
        <v>93</v>
      </c>
      <c r="I162" s="244">
        <v>92</v>
      </c>
      <c r="J162" s="244">
        <v>92</v>
      </c>
      <c r="K162" s="244">
        <v>93</v>
      </c>
      <c r="L162" s="244">
        <v>93</v>
      </c>
      <c r="M162" s="244">
        <v>93</v>
      </c>
      <c r="N162" s="278">
        <v>93</v>
      </c>
    </row>
    <row r="163" spans="2:15" x14ac:dyDescent="0.2">
      <c r="B163" s="252" t="s">
        <v>455</v>
      </c>
      <c r="C163" s="244">
        <v>2</v>
      </c>
      <c r="D163" s="244">
        <v>2</v>
      </c>
      <c r="E163" s="244">
        <v>3</v>
      </c>
      <c r="F163" s="244">
        <v>3</v>
      </c>
      <c r="G163" s="244">
        <v>4</v>
      </c>
      <c r="H163" s="244">
        <v>4</v>
      </c>
      <c r="I163" s="244">
        <v>4</v>
      </c>
      <c r="J163" s="244">
        <v>4</v>
      </c>
      <c r="K163" s="244">
        <v>4</v>
      </c>
      <c r="L163" s="244">
        <v>4</v>
      </c>
      <c r="M163" s="244">
        <v>4</v>
      </c>
      <c r="N163" s="252">
        <v>3</v>
      </c>
    </row>
    <row r="164" spans="2:15" ht="10.5" thickBot="1" x14ac:dyDescent="0.25">
      <c r="B164" s="252" t="s">
        <v>456</v>
      </c>
      <c r="C164" s="244">
        <v>15</v>
      </c>
      <c r="D164" s="244">
        <v>14</v>
      </c>
      <c r="E164" s="244">
        <v>13</v>
      </c>
      <c r="F164" s="244">
        <v>14</v>
      </c>
      <c r="G164" s="244">
        <v>15</v>
      </c>
      <c r="H164" s="244">
        <v>18</v>
      </c>
      <c r="I164" s="244">
        <v>17</v>
      </c>
      <c r="J164" s="244">
        <v>17</v>
      </c>
      <c r="K164" s="244">
        <v>17</v>
      </c>
      <c r="L164" s="244">
        <v>16</v>
      </c>
      <c r="M164" s="244">
        <v>15</v>
      </c>
      <c r="N164" s="247">
        <v>16</v>
      </c>
    </row>
    <row r="165" spans="2:15" ht="11" thickBot="1" x14ac:dyDescent="0.3">
      <c r="B165" s="248" t="s">
        <v>457</v>
      </c>
      <c r="C165" s="250">
        <v>109.3</v>
      </c>
      <c r="D165" s="250">
        <v>108.3</v>
      </c>
      <c r="E165" s="250">
        <v>107.45</v>
      </c>
      <c r="F165" s="250">
        <v>108.45</v>
      </c>
      <c r="G165" s="250">
        <v>108.6</v>
      </c>
      <c r="H165" s="250">
        <v>111.6</v>
      </c>
      <c r="I165" s="250">
        <v>109.6</v>
      </c>
      <c r="J165" s="250">
        <v>109.6</v>
      </c>
      <c r="K165" s="250">
        <v>110.6</v>
      </c>
      <c r="L165" s="250">
        <v>109.6</v>
      </c>
      <c r="M165" s="250">
        <v>108.6</v>
      </c>
      <c r="N165" s="250">
        <v>109.45</v>
      </c>
      <c r="O165" s="251">
        <v>109.2625</v>
      </c>
    </row>
    <row r="166" spans="2:15" x14ac:dyDescent="0.2">
      <c r="B166" s="252" t="s">
        <v>458</v>
      </c>
      <c r="C166" s="244">
        <v>85</v>
      </c>
      <c r="D166" s="244">
        <v>85</v>
      </c>
      <c r="E166" s="244">
        <v>86</v>
      </c>
      <c r="F166" s="244">
        <v>86</v>
      </c>
      <c r="G166" s="244">
        <v>86</v>
      </c>
      <c r="H166" s="244">
        <v>85</v>
      </c>
      <c r="I166" s="244">
        <v>86</v>
      </c>
      <c r="J166" s="244">
        <v>86</v>
      </c>
      <c r="K166" s="244">
        <v>85</v>
      </c>
      <c r="L166" s="244">
        <v>84</v>
      </c>
      <c r="M166" s="244">
        <v>84</v>
      </c>
      <c r="N166" s="278">
        <v>84</v>
      </c>
    </row>
    <row r="167" spans="2:15" x14ac:dyDescent="0.2">
      <c r="B167" s="252" t="s">
        <v>459</v>
      </c>
      <c r="C167" s="244">
        <v>3</v>
      </c>
      <c r="D167" s="244">
        <v>3</v>
      </c>
      <c r="E167" s="244">
        <v>3</v>
      </c>
      <c r="F167" s="244">
        <v>3</v>
      </c>
      <c r="G167" s="244">
        <v>3</v>
      </c>
      <c r="H167" s="244">
        <v>3</v>
      </c>
      <c r="I167" s="244">
        <v>3</v>
      </c>
      <c r="J167" s="244">
        <v>3</v>
      </c>
      <c r="K167" s="244">
        <v>3</v>
      </c>
      <c r="L167" s="244">
        <v>3</v>
      </c>
      <c r="M167" s="244">
        <v>3</v>
      </c>
      <c r="N167" s="252">
        <v>2</v>
      </c>
    </row>
    <row r="168" spans="2:15" ht="10.5" thickBot="1" x14ac:dyDescent="0.25">
      <c r="B168" s="252" t="s">
        <v>460</v>
      </c>
      <c r="C168" s="244">
        <v>6</v>
      </c>
      <c r="D168" s="244">
        <v>6</v>
      </c>
      <c r="E168" s="244">
        <v>6</v>
      </c>
      <c r="F168" s="244">
        <v>7</v>
      </c>
      <c r="G168" s="244">
        <v>6</v>
      </c>
      <c r="H168" s="244">
        <v>6</v>
      </c>
      <c r="I168" s="244">
        <v>7</v>
      </c>
      <c r="J168" s="244">
        <v>7</v>
      </c>
      <c r="K168" s="244">
        <v>7</v>
      </c>
      <c r="L168" s="244">
        <v>8</v>
      </c>
      <c r="M168" s="244">
        <v>9</v>
      </c>
      <c r="N168" s="247">
        <v>9</v>
      </c>
    </row>
    <row r="169" spans="2:15" ht="11" thickBot="1" x14ac:dyDescent="0.3">
      <c r="B169" s="248" t="s">
        <v>461</v>
      </c>
      <c r="C169" s="250">
        <v>91.45</v>
      </c>
      <c r="D169" s="250">
        <v>91.45</v>
      </c>
      <c r="E169" s="250">
        <v>92.45</v>
      </c>
      <c r="F169" s="250">
        <v>93.45</v>
      </c>
      <c r="G169" s="250">
        <v>92.45</v>
      </c>
      <c r="H169" s="250">
        <v>91.45</v>
      </c>
      <c r="I169" s="250">
        <v>93.45</v>
      </c>
      <c r="J169" s="250">
        <v>93.45</v>
      </c>
      <c r="K169" s="250">
        <v>92.45</v>
      </c>
      <c r="L169" s="250">
        <v>92.45</v>
      </c>
      <c r="M169" s="250">
        <v>93.45</v>
      </c>
      <c r="N169" s="250">
        <v>93.3</v>
      </c>
      <c r="O169" s="251">
        <v>92.604166666666686</v>
      </c>
    </row>
    <row r="170" spans="2:15" x14ac:dyDescent="0.2">
      <c r="B170" s="252" t="s">
        <v>462</v>
      </c>
      <c r="C170" s="244">
        <v>12</v>
      </c>
      <c r="D170" s="244">
        <v>12</v>
      </c>
      <c r="E170" s="244">
        <v>12</v>
      </c>
      <c r="F170" s="244">
        <v>12</v>
      </c>
      <c r="G170" s="244">
        <v>12</v>
      </c>
      <c r="H170" s="244">
        <v>12</v>
      </c>
      <c r="I170" s="244">
        <v>12</v>
      </c>
      <c r="J170" s="244">
        <v>12</v>
      </c>
      <c r="K170" s="244">
        <v>12</v>
      </c>
      <c r="L170" s="244">
        <v>11</v>
      </c>
      <c r="M170" s="244">
        <v>12</v>
      </c>
      <c r="N170" s="278">
        <v>13</v>
      </c>
    </row>
    <row r="171" spans="2:15" x14ac:dyDescent="0.2">
      <c r="B171" s="252" t="s">
        <v>463</v>
      </c>
      <c r="C171" s="244">
        <v>0</v>
      </c>
      <c r="D171" s="244">
        <v>0</v>
      </c>
      <c r="E171" s="244">
        <v>0</v>
      </c>
      <c r="F171" s="244">
        <v>0</v>
      </c>
      <c r="G171" s="244">
        <v>0</v>
      </c>
      <c r="H171" s="244">
        <v>0</v>
      </c>
      <c r="I171" s="244">
        <v>0</v>
      </c>
      <c r="J171" s="244">
        <v>0</v>
      </c>
      <c r="K171" s="244">
        <v>0</v>
      </c>
      <c r="L171" s="244">
        <v>0</v>
      </c>
      <c r="M171" s="244">
        <v>0</v>
      </c>
      <c r="N171" s="252">
        <v>0</v>
      </c>
    </row>
    <row r="172" spans="2:15" ht="10.5" thickBot="1" x14ac:dyDescent="0.25">
      <c r="B172" s="252" t="s">
        <v>464</v>
      </c>
      <c r="C172" s="244">
        <v>3</v>
      </c>
      <c r="D172" s="244">
        <v>3</v>
      </c>
      <c r="E172" s="244">
        <v>3</v>
      </c>
      <c r="F172" s="244">
        <v>3</v>
      </c>
      <c r="G172" s="244">
        <v>3</v>
      </c>
      <c r="H172" s="244">
        <v>3</v>
      </c>
      <c r="I172" s="244">
        <v>3</v>
      </c>
      <c r="J172" s="244">
        <v>3</v>
      </c>
      <c r="K172" s="244">
        <v>3</v>
      </c>
      <c r="L172" s="244">
        <v>3</v>
      </c>
      <c r="M172" s="244">
        <v>3</v>
      </c>
      <c r="N172" s="247">
        <v>2</v>
      </c>
    </row>
    <row r="173" spans="2:15" ht="11" thickBot="1" x14ac:dyDescent="0.3">
      <c r="B173" s="248" t="s">
        <v>465</v>
      </c>
      <c r="C173" s="250">
        <v>15</v>
      </c>
      <c r="D173" s="250">
        <v>15</v>
      </c>
      <c r="E173" s="250">
        <v>15</v>
      </c>
      <c r="F173" s="250">
        <v>15</v>
      </c>
      <c r="G173" s="250">
        <v>15</v>
      </c>
      <c r="H173" s="250">
        <v>15</v>
      </c>
      <c r="I173" s="250">
        <v>15</v>
      </c>
      <c r="J173" s="250">
        <v>15</v>
      </c>
      <c r="K173" s="250">
        <v>15</v>
      </c>
      <c r="L173" s="250">
        <v>14</v>
      </c>
      <c r="M173" s="250">
        <v>15</v>
      </c>
      <c r="N173" s="250">
        <v>15</v>
      </c>
      <c r="O173" s="251">
        <v>14.916666666666666</v>
      </c>
    </row>
    <row r="174" spans="2:15" x14ac:dyDescent="0.2">
      <c r="B174" s="252" t="s">
        <v>466</v>
      </c>
      <c r="C174" s="244">
        <v>87</v>
      </c>
      <c r="D174" s="244">
        <v>87</v>
      </c>
      <c r="E174" s="244">
        <v>87</v>
      </c>
      <c r="F174" s="244">
        <v>87</v>
      </c>
      <c r="G174" s="244">
        <v>87</v>
      </c>
      <c r="H174" s="244">
        <v>87</v>
      </c>
      <c r="I174" s="244">
        <v>87</v>
      </c>
      <c r="J174" s="244">
        <v>86</v>
      </c>
      <c r="K174" s="244">
        <v>85</v>
      </c>
      <c r="L174" s="244">
        <v>85</v>
      </c>
      <c r="M174" s="244">
        <v>86</v>
      </c>
      <c r="N174" s="278">
        <v>86</v>
      </c>
    </row>
    <row r="175" spans="2:15" x14ac:dyDescent="0.2">
      <c r="B175" s="252" t="s">
        <v>467</v>
      </c>
      <c r="C175" s="244">
        <v>1</v>
      </c>
      <c r="D175" s="244">
        <v>1</v>
      </c>
      <c r="E175" s="244">
        <v>1</v>
      </c>
      <c r="F175" s="244">
        <v>1</v>
      </c>
      <c r="G175" s="244">
        <v>1</v>
      </c>
      <c r="H175" s="244">
        <v>1</v>
      </c>
      <c r="I175" s="244">
        <v>1</v>
      </c>
      <c r="J175" s="244">
        <v>2</v>
      </c>
      <c r="K175" s="244">
        <v>2</v>
      </c>
      <c r="L175" s="244">
        <v>2</v>
      </c>
      <c r="M175" s="244">
        <v>2</v>
      </c>
      <c r="N175" s="252">
        <v>2</v>
      </c>
    </row>
    <row r="176" spans="2:15" ht="10.5" thickBot="1" x14ac:dyDescent="0.25">
      <c r="B176" s="252" t="s">
        <v>468</v>
      </c>
      <c r="C176" s="244">
        <v>8</v>
      </c>
      <c r="D176" s="244">
        <v>8</v>
      </c>
      <c r="E176" s="244">
        <v>8</v>
      </c>
      <c r="F176" s="244">
        <v>8</v>
      </c>
      <c r="G176" s="244">
        <v>9</v>
      </c>
      <c r="H176" s="244">
        <v>10</v>
      </c>
      <c r="I176" s="244">
        <v>9</v>
      </c>
      <c r="J176" s="244">
        <v>9</v>
      </c>
      <c r="K176" s="244">
        <v>9</v>
      </c>
      <c r="L176" s="244">
        <v>10</v>
      </c>
      <c r="M176" s="244">
        <v>10</v>
      </c>
      <c r="N176" s="247">
        <v>14</v>
      </c>
    </row>
    <row r="177" spans="2:28" ht="11" thickBot="1" x14ac:dyDescent="0.3">
      <c r="B177" s="248" t="s">
        <v>469</v>
      </c>
      <c r="C177" s="250">
        <v>95.15</v>
      </c>
      <c r="D177" s="250">
        <v>95.15</v>
      </c>
      <c r="E177" s="250">
        <v>95.15</v>
      </c>
      <c r="F177" s="250">
        <v>95.15</v>
      </c>
      <c r="G177" s="250">
        <v>96.15</v>
      </c>
      <c r="H177" s="250">
        <v>97.15</v>
      </c>
      <c r="I177" s="250">
        <v>96.15</v>
      </c>
      <c r="J177" s="250">
        <v>95.3</v>
      </c>
      <c r="K177" s="250">
        <v>94.3</v>
      </c>
      <c r="L177" s="250">
        <v>95.3</v>
      </c>
      <c r="M177" s="250">
        <v>96.3</v>
      </c>
      <c r="N177" s="250">
        <v>100.3</v>
      </c>
      <c r="O177" s="251">
        <v>95.962499999999977</v>
      </c>
    </row>
    <row r="178" spans="2:28" x14ac:dyDescent="0.2">
      <c r="B178" s="258" t="s">
        <v>378</v>
      </c>
      <c r="C178" s="244">
        <v>7</v>
      </c>
      <c r="D178" s="244">
        <v>7</v>
      </c>
      <c r="E178" s="244">
        <v>6</v>
      </c>
      <c r="F178" s="244">
        <v>6</v>
      </c>
      <c r="G178" s="244">
        <v>6</v>
      </c>
      <c r="H178" s="244">
        <v>6</v>
      </c>
      <c r="I178" s="244">
        <v>6</v>
      </c>
      <c r="J178" s="244">
        <v>6</v>
      </c>
      <c r="K178" s="244">
        <v>7</v>
      </c>
      <c r="L178" s="244">
        <v>7</v>
      </c>
      <c r="M178" s="244">
        <v>7</v>
      </c>
      <c r="N178" s="278">
        <v>7</v>
      </c>
    </row>
    <row r="179" spans="2:28" x14ac:dyDescent="0.2">
      <c r="B179" s="258" t="s">
        <v>379</v>
      </c>
      <c r="C179" s="244">
        <v>0</v>
      </c>
      <c r="D179" s="244">
        <v>0</v>
      </c>
      <c r="E179" s="244">
        <v>0</v>
      </c>
      <c r="F179" s="244">
        <v>0</v>
      </c>
      <c r="G179" s="244">
        <v>0</v>
      </c>
      <c r="H179" s="244">
        <v>0</v>
      </c>
      <c r="I179" s="244">
        <v>0</v>
      </c>
      <c r="J179" s="244">
        <v>0</v>
      </c>
      <c r="K179" s="244">
        <v>0</v>
      </c>
      <c r="L179" s="244">
        <v>0</v>
      </c>
      <c r="M179" s="244">
        <v>0</v>
      </c>
      <c r="N179" s="252">
        <v>0</v>
      </c>
    </row>
    <row r="180" spans="2:28" ht="10.5" thickBot="1" x14ac:dyDescent="0.25">
      <c r="B180" s="258" t="s">
        <v>380</v>
      </c>
      <c r="C180" s="244">
        <v>0</v>
      </c>
      <c r="D180" s="244">
        <v>0</v>
      </c>
      <c r="E180" s="244">
        <v>0</v>
      </c>
      <c r="F180" s="244">
        <v>0</v>
      </c>
      <c r="G180" s="244">
        <v>0</v>
      </c>
      <c r="H180" s="244">
        <v>0</v>
      </c>
      <c r="I180" s="244">
        <v>0</v>
      </c>
      <c r="J180" s="244">
        <v>0</v>
      </c>
      <c r="K180" s="244">
        <v>0</v>
      </c>
      <c r="L180" s="244">
        <v>0</v>
      </c>
      <c r="M180" s="244">
        <v>0</v>
      </c>
      <c r="N180" s="247">
        <v>0</v>
      </c>
    </row>
    <row r="181" spans="2:28" ht="11" thickBot="1" x14ac:dyDescent="0.3">
      <c r="B181" s="256" t="s">
        <v>470</v>
      </c>
      <c r="C181" s="250">
        <v>7</v>
      </c>
      <c r="D181" s="250">
        <v>7</v>
      </c>
      <c r="E181" s="250">
        <v>6</v>
      </c>
      <c r="F181" s="250">
        <v>6</v>
      </c>
      <c r="G181" s="250">
        <v>6</v>
      </c>
      <c r="H181" s="250">
        <v>6</v>
      </c>
      <c r="I181" s="250">
        <v>6</v>
      </c>
      <c r="J181" s="250">
        <v>6</v>
      </c>
      <c r="K181" s="250">
        <v>7</v>
      </c>
      <c r="L181" s="250">
        <v>7</v>
      </c>
      <c r="M181" s="250">
        <v>7</v>
      </c>
      <c r="N181" s="250">
        <v>7</v>
      </c>
      <c r="O181" s="251">
        <v>6.5</v>
      </c>
    </row>
    <row r="182" spans="2:28" x14ac:dyDescent="0.2">
      <c r="B182" s="295" t="s">
        <v>347</v>
      </c>
      <c r="C182" s="244">
        <v>3</v>
      </c>
      <c r="D182" s="244">
        <v>3</v>
      </c>
      <c r="E182" s="244">
        <v>3</v>
      </c>
      <c r="F182" s="244">
        <v>3</v>
      </c>
      <c r="G182" s="244">
        <v>3</v>
      </c>
      <c r="H182" s="244">
        <v>3</v>
      </c>
      <c r="I182" s="244">
        <v>3</v>
      </c>
      <c r="J182" s="244">
        <v>3</v>
      </c>
      <c r="K182" s="244">
        <v>3</v>
      </c>
      <c r="L182" s="244">
        <v>3</v>
      </c>
      <c r="M182" s="244">
        <v>3</v>
      </c>
      <c r="N182" s="278">
        <v>3</v>
      </c>
    </row>
    <row r="183" spans="2:28" x14ac:dyDescent="0.2">
      <c r="B183" s="258" t="s">
        <v>348</v>
      </c>
      <c r="C183" s="244">
        <v>1</v>
      </c>
      <c r="D183" s="244">
        <v>1</v>
      </c>
      <c r="E183" s="244">
        <v>1</v>
      </c>
      <c r="F183" s="244">
        <v>1</v>
      </c>
      <c r="G183" s="244">
        <v>0</v>
      </c>
      <c r="H183" s="244">
        <v>0</v>
      </c>
      <c r="I183" s="244">
        <v>0</v>
      </c>
      <c r="J183" s="244">
        <v>0</v>
      </c>
      <c r="K183" s="244">
        <v>0</v>
      </c>
      <c r="L183" s="244">
        <v>0</v>
      </c>
      <c r="M183" s="244">
        <v>0</v>
      </c>
      <c r="N183" s="252">
        <v>0</v>
      </c>
    </row>
    <row r="184" spans="2:28" ht="10.5" thickBot="1" x14ac:dyDescent="0.25">
      <c r="B184" s="258" t="s">
        <v>349</v>
      </c>
      <c r="C184" s="244">
        <v>0</v>
      </c>
      <c r="D184" s="244">
        <v>0</v>
      </c>
      <c r="E184" s="244">
        <v>0</v>
      </c>
      <c r="F184" s="244">
        <v>0</v>
      </c>
      <c r="G184" s="244">
        <v>0</v>
      </c>
      <c r="H184" s="244">
        <v>0</v>
      </c>
      <c r="I184" s="244">
        <v>0</v>
      </c>
      <c r="J184" s="244">
        <v>0</v>
      </c>
      <c r="K184" s="244">
        <v>0</v>
      </c>
      <c r="L184" s="244">
        <v>0</v>
      </c>
      <c r="M184" s="244">
        <v>0</v>
      </c>
      <c r="N184" s="247">
        <v>0</v>
      </c>
    </row>
    <row r="185" spans="2:28" ht="11" thickBot="1" x14ac:dyDescent="0.3">
      <c r="B185" s="256" t="s">
        <v>471</v>
      </c>
      <c r="C185" s="250">
        <v>3.15</v>
      </c>
      <c r="D185" s="250">
        <v>3.15</v>
      </c>
      <c r="E185" s="250">
        <v>3.15</v>
      </c>
      <c r="F185" s="250">
        <v>3.15</v>
      </c>
      <c r="G185" s="250">
        <v>3</v>
      </c>
      <c r="H185" s="250">
        <v>3</v>
      </c>
      <c r="I185" s="250">
        <v>3</v>
      </c>
      <c r="J185" s="250">
        <v>3</v>
      </c>
      <c r="K185" s="250">
        <v>3</v>
      </c>
      <c r="L185" s="250">
        <v>3</v>
      </c>
      <c r="M185" s="250">
        <v>3</v>
      </c>
      <c r="N185" s="250">
        <v>3</v>
      </c>
      <c r="O185" s="251">
        <v>3.0500000000000003</v>
      </c>
    </row>
    <row r="186" spans="2:28" x14ac:dyDescent="0.2">
      <c r="B186" s="303" t="s">
        <v>472</v>
      </c>
      <c r="C186" s="278">
        <v>288</v>
      </c>
      <c r="D186" s="278">
        <v>288</v>
      </c>
      <c r="E186" s="278">
        <v>288</v>
      </c>
      <c r="F186" s="278">
        <v>288</v>
      </c>
      <c r="G186" s="278">
        <v>287</v>
      </c>
      <c r="H186" s="278">
        <v>286</v>
      </c>
      <c r="I186" s="278">
        <v>286</v>
      </c>
      <c r="J186" s="278">
        <v>285</v>
      </c>
      <c r="K186" s="278">
        <v>285</v>
      </c>
      <c r="L186" s="278">
        <v>283</v>
      </c>
      <c r="M186" s="278">
        <v>285</v>
      </c>
      <c r="N186" s="278">
        <v>286</v>
      </c>
    </row>
    <row r="187" spans="2:28" x14ac:dyDescent="0.2">
      <c r="B187" s="303" t="s">
        <v>473</v>
      </c>
      <c r="C187" s="252">
        <v>7</v>
      </c>
      <c r="D187" s="252">
        <v>7</v>
      </c>
      <c r="E187" s="252">
        <v>8</v>
      </c>
      <c r="F187" s="252">
        <v>8</v>
      </c>
      <c r="G187" s="252">
        <v>8</v>
      </c>
      <c r="H187" s="252">
        <v>8</v>
      </c>
      <c r="I187" s="252">
        <v>8</v>
      </c>
      <c r="J187" s="252">
        <v>9</v>
      </c>
      <c r="K187" s="252">
        <v>9</v>
      </c>
      <c r="L187" s="252">
        <v>9</v>
      </c>
      <c r="M187" s="252">
        <v>9</v>
      </c>
      <c r="N187" s="252">
        <v>7</v>
      </c>
    </row>
    <row r="188" spans="2:28" ht="10.5" thickBot="1" x14ac:dyDescent="0.25">
      <c r="B188" s="303" t="s">
        <v>474</v>
      </c>
      <c r="C188" s="247">
        <v>32</v>
      </c>
      <c r="D188" s="247">
        <v>31</v>
      </c>
      <c r="E188" s="247">
        <v>30</v>
      </c>
      <c r="F188" s="247">
        <v>32</v>
      </c>
      <c r="G188" s="247">
        <v>33</v>
      </c>
      <c r="H188" s="247">
        <v>37</v>
      </c>
      <c r="I188" s="247">
        <v>36</v>
      </c>
      <c r="J188" s="247">
        <v>36</v>
      </c>
      <c r="K188" s="247">
        <v>36</v>
      </c>
      <c r="L188" s="247">
        <v>37</v>
      </c>
      <c r="M188" s="247">
        <v>37</v>
      </c>
      <c r="N188" s="247">
        <v>41</v>
      </c>
    </row>
    <row r="189" spans="2:28" ht="11" thickBot="1" x14ac:dyDescent="0.3">
      <c r="B189" s="263" t="s">
        <v>475</v>
      </c>
      <c r="C189" s="250">
        <v>321.05</v>
      </c>
      <c r="D189" s="250">
        <v>320.05</v>
      </c>
      <c r="E189" s="250">
        <v>319.2</v>
      </c>
      <c r="F189" s="250">
        <v>321.2</v>
      </c>
      <c r="G189" s="250">
        <v>321.2</v>
      </c>
      <c r="H189" s="250">
        <v>324.2</v>
      </c>
      <c r="I189" s="250">
        <v>323.2</v>
      </c>
      <c r="J189" s="250">
        <v>322.35000000000002</v>
      </c>
      <c r="K189" s="250">
        <v>322.35000000000002</v>
      </c>
      <c r="L189" s="250">
        <v>321.35000000000002</v>
      </c>
      <c r="M189" s="250">
        <v>323.35000000000002</v>
      </c>
      <c r="N189" s="250">
        <v>328.05</v>
      </c>
      <c r="O189" s="251">
        <v>322.29583333333329</v>
      </c>
      <c r="P189" s="264" t="s">
        <v>476</v>
      </c>
      <c r="Q189" s="235">
        <v>288</v>
      </c>
      <c r="R189" s="235">
        <v>288</v>
      </c>
      <c r="S189" s="235">
        <v>288</v>
      </c>
      <c r="T189" s="235">
        <v>288</v>
      </c>
      <c r="U189" s="235">
        <v>287</v>
      </c>
      <c r="V189" s="235">
        <v>286</v>
      </c>
      <c r="W189" s="235">
        <v>286</v>
      </c>
      <c r="X189" s="235">
        <v>285</v>
      </c>
      <c r="Y189" s="235">
        <v>285</v>
      </c>
      <c r="Z189" s="235">
        <v>283</v>
      </c>
      <c r="AA189" s="235">
        <v>285</v>
      </c>
      <c r="AB189" s="235">
        <v>286</v>
      </c>
    </row>
    <row r="190" spans="2:28" x14ac:dyDescent="0.2">
      <c r="B190" s="269" t="s">
        <v>477</v>
      </c>
      <c r="C190" s="298">
        <v>288</v>
      </c>
      <c r="D190" s="267">
        <v>288</v>
      </c>
      <c r="E190" s="267">
        <v>288</v>
      </c>
      <c r="F190" s="267">
        <v>288</v>
      </c>
      <c r="G190" s="267">
        <v>287.8</v>
      </c>
      <c r="H190" s="267">
        <v>287.5</v>
      </c>
      <c r="I190" s="267">
        <v>287.28571428571428</v>
      </c>
      <c r="J190" s="267">
        <v>287</v>
      </c>
      <c r="K190" s="267">
        <v>286.77777777777777</v>
      </c>
      <c r="L190" s="267">
        <v>286.39999999999998</v>
      </c>
      <c r="M190" s="267">
        <v>286.27272727272725</v>
      </c>
      <c r="N190" s="267">
        <v>286.25</v>
      </c>
      <c r="P190" s="264" t="s">
        <v>478</v>
      </c>
      <c r="Q190" s="235">
        <v>7</v>
      </c>
      <c r="R190" s="235">
        <v>7</v>
      </c>
      <c r="S190" s="235">
        <v>8</v>
      </c>
      <c r="T190" s="235">
        <v>8</v>
      </c>
      <c r="U190" s="235">
        <v>8</v>
      </c>
      <c r="V190" s="235">
        <v>8</v>
      </c>
      <c r="W190" s="235">
        <v>8</v>
      </c>
      <c r="X190" s="235">
        <v>9</v>
      </c>
      <c r="Y190" s="235">
        <v>9</v>
      </c>
      <c r="Z190" s="235">
        <v>9</v>
      </c>
      <c r="AA190" s="235">
        <v>9</v>
      </c>
      <c r="AB190" s="235">
        <v>7</v>
      </c>
    </row>
    <row r="191" spans="2:28" x14ac:dyDescent="0.2">
      <c r="B191" s="269" t="s">
        <v>479</v>
      </c>
      <c r="C191" s="304">
        <v>7</v>
      </c>
      <c r="D191" s="271">
        <v>7</v>
      </c>
      <c r="E191" s="271">
        <v>7.333333333333333</v>
      </c>
      <c r="F191" s="271">
        <v>7.5</v>
      </c>
      <c r="G191" s="271">
        <v>7.6</v>
      </c>
      <c r="H191" s="271">
        <v>7.666666666666667</v>
      </c>
      <c r="I191" s="271">
        <v>7.7142857142857144</v>
      </c>
      <c r="J191" s="271">
        <v>7.875</v>
      </c>
      <c r="K191" s="271">
        <v>8</v>
      </c>
      <c r="L191" s="271">
        <v>8.1</v>
      </c>
      <c r="M191" s="271">
        <v>8.1818181818181817</v>
      </c>
      <c r="N191" s="271">
        <v>8.0833333333333339</v>
      </c>
      <c r="P191" s="264" t="s">
        <v>480</v>
      </c>
      <c r="Q191" s="235">
        <v>32</v>
      </c>
      <c r="R191" s="235">
        <v>31</v>
      </c>
      <c r="S191" s="235">
        <v>30</v>
      </c>
      <c r="T191" s="235">
        <v>32</v>
      </c>
      <c r="U191" s="235">
        <v>33</v>
      </c>
      <c r="V191" s="235">
        <v>37</v>
      </c>
      <c r="W191" s="235">
        <v>36</v>
      </c>
      <c r="X191" s="235">
        <v>36</v>
      </c>
      <c r="Y191" s="235">
        <v>36</v>
      </c>
      <c r="Z191" s="235">
        <v>37</v>
      </c>
      <c r="AA191" s="235">
        <v>37</v>
      </c>
      <c r="AB191" s="235">
        <v>41</v>
      </c>
    </row>
    <row r="192" spans="2:28" ht="10.5" thickBot="1" x14ac:dyDescent="0.25">
      <c r="B192" s="269" t="s">
        <v>481</v>
      </c>
      <c r="C192" s="299">
        <v>32</v>
      </c>
      <c r="D192" s="271">
        <v>31.5</v>
      </c>
      <c r="E192" s="271">
        <v>31</v>
      </c>
      <c r="F192" s="271">
        <v>31.25</v>
      </c>
      <c r="G192" s="271">
        <v>31.6</v>
      </c>
      <c r="H192" s="272">
        <v>32.5</v>
      </c>
      <c r="I192" s="272">
        <v>33</v>
      </c>
      <c r="J192" s="272">
        <v>33.375</v>
      </c>
      <c r="K192" s="272">
        <v>33.666666666666664</v>
      </c>
      <c r="L192" s="272">
        <v>34</v>
      </c>
      <c r="M192" s="272">
        <v>34.272727272727273</v>
      </c>
      <c r="N192" s="271">
        <v>34.833333333333336</v>
      </c>
      <c r="P192" s="235" t="s">
        <v>482</v>
      </c>
      <c r="Q192" s="235">
        <v>288</v>
      </c>
      <c r="R192" s="235">
        <v>576</v>
      </c>
      <c r="S192" s="235">
        <v>864</v>
      </c>
      <c r="T192" s="235">
        <v>1152</v>
      </c>
      <c r="U192" s="235">
        <v>1439</v>
      </c>
      <c r="V192" s="235">
        <v>1725</v>
      </c>
      <c r="W192" s="235">
        <v>2011</v>
      </c>
      <c r="X192" s="235">
        <v>2296</v>
      </c>
      <c r="Y192" s="235">
        <v>2581</v>
      </c>
      <c r="Z192" s="235">
        <v>2864</v>
      </c>
      <c r="AA192" s="235">
        <v>3149</v>
      </c>
      <c r="AB192" s="235">
        <v>3435</v>
      </c>
    </row>
    <row r="193" spans="1:28" ht="11" thickBot="1" x14ac:dyDescent="0.3">
      <c r="B193" s="273" t="s">
        <v>483</v>
      </c>
      <c r="C193" s="274">
        <v>321.05</v>
      </c>
      <c r="D193" s="274">
        <v>320.55</v>
      </c>
      <c r="E193" s="274">
        <v>320.10000000000002</v>
      </c>
      <c r="F193" s="274">
        <v>320.375</v>
      </c>
      <c r="G193" s="274">
        <v>320.54000000000002</v>
      </c>
      <c r="H193" s="274">
        <v>321.14999999999998</v>
      </c>
      <c r="I193" s="274">
        <v>321.44285714285712</v>
      </c>
      <c r="J193" s="274">
        <v>321.55624999999998</v>
      </c>
      <c r="K193" s="274">
        <v>321.64444444444445</v>
      </c>
      <c r="L193" s="274">
        <v>321.61499999999995</v>
      </c>
      <c r="M193" s="274">
        <v>321.77272727272725</v>
      </c>
      <c r="N193" s="274">
        <v>322.29583333333329</v>
      </c>
      <c r="P193" s="235" t="s">
        <v>484</v>
      </c>
      <c r="Q193" s="235">
        <v>7</v>
      </c>
      <c r="R193" s="235">
        <v>14</v>
      </c>
      <c r="S193" s="235">
        <v>22</v>
      </c>
      <c r="T193" s="235">
        <v>30</v>
      </c>
      <c r="U193" s="235">
        <v>38</v>
      </c>
      <c r="V193" s="235">
        <v>46</v>
      </c>
      <c r="W193" s="235">
        <v>54</v>
      </c>
      <c r="X193" s="235">
        <v>63</v>
      </c>
      <c r="Y193" s="235">
        <v>72</v>
      </c>
      <c r="Z193" s="235">
        <v>81</v>
      </c>
      <c r="AA193" s="235">
        <v>90</v>
      </c>
      <c r="AB193" s="235">
        <v>97</v>
      </c>
    </row>
    <row r="194" spans="1:28" x14ac:dyDescent="0.2">
      <c r="P194" s="235" t="s">
        <v>485</v>
      </c>
      <c r="Q194" s="235">
        <v>32</v>
      </c>
      <c r="R194" s="235">
        <v>63</v>
      </c>
      <c r="S194" s="235">
        <v>93</v>
      </c>
      <c r="T194" s="235">
        <v>125</v>
      </c>
      <c r="U194" s="235">
        <v>158</v>
      </c>
      <c r="V194" s="235">
        <v>195</v>
      </c>
      <c r="W194" s="235">
        <v>231</v>
      </c>
      <c r="X194" s="235">
        <v>267</v>
      </c>
      <c r="Y194" s="235">
        <v>303</v>
      </c>
      <c r="Z194" s="235">
        <v>340</v>
      </c>
      <c r="AA194" s="235">
        <v>377</v>
      </c>
      <c r="AB194" s="235">
        <v>418</v>
      </c>
    </row>
    <row r="195" spans="1:28" ht="13.5" customHeight="1" x14ac:dyDescent="0.2"/>
    <row r="197" spans="1:28" ht="18" x14ac:dyDescent="0.4">
      <c r="B197" s="983" t="s">
        <v>486</v>
      </c>
      <c r="C197" s="983"/>
      <c r="D197" s="983"/>
      <c r="E197" s="983"/>
      <c r="F197" s="983"/>
      <c r="G197" s="983"/>
      <c r="H197" s="983"/>
      <c r="I197" s="983"/>
      <c r="J197" s="983"/>
      <c r="K197" s="983"/>
      <c r="L197" s="983"/>
      <c r="M197" s="983"/>
      <c r="N197" s="983"/>
    </row>
    <row r="198" spans="1:28" ht="10.5" thickBot="1" x14ac:dyDescent="0.25"/>
    <row r="199" spans="1:28" ht="16" thickBot="1" x14ac:dyDescent="0.4">
      <c r="B199" s="305" t="s">
        <v>487</v>
      </c>
      <c r="C199" s="984" t="s">
        <v>309</v>
      </c>
      <c r="D199" s="985"/>
      <c r="E199" s="985"/>
      <c r="F199" s="985"/>
      <c r="G199" s="985"/>
      <c r="H199" s="985"/>
      <c r="I199" s="985"/>
      <c r="J199" s="985"/>
      <c r="K199" s="985"/>
      <c r="L199" s="985"/>
      <c r="M199" s="985"/>
      <c r="N199" s="986"/>
      <c r="P199" s="306"/>
    </row>
    <row r="200" spans="1:28" x14ac:dyDescent="0.2">
      <c r="B200" s="238"/>
      <c r="C200" s="987" t="s">
        <v>310</v>
      </c>
      <c r="D200" s="987" t="s">
        <v>311</v>
      </c>
      <c r="E200" s="987" t="s">
        <v>312</v>
      </c>
      <c r="F200" s="987" t="s">
        <v>313</v>
      </c>
      <c r="G200" s="987" t="s">
        <v>314</v>
      </c>
      <c r="H200" s="987" t="s">
        <v>315</v>
      </c>
      <c r="I200" s="987" t="s">
        <v>316</v>
      </c>
      <c r="J200" s="987" t="s">
        <v>317</v>
      </c>
      <c r="K200" s="987" t="s">
        <v>318</v>
      </c>
      <c r="L200" s="987" t="s">
        <v>319</v>
      </c>
      <c r="M200" s="987" t="s">
        <v>320</v>
      </c>
      <c r="N200" s="987" t="s">
        <v>321</v>
      </c>
    </row>
    <row r="201" spans="1:28" ht="12" thickBot="1" x14ac:dyDescent="0.3">
      <c r="B201" s="239" t="s">
        <v>322</v>
      </c>
      <c r="C201" s="988"/>
      <c r="D201" s="988"/>
      <c r="E201" s="988"/>
      <c r="F201" s="988"/>
      <c r="G201" s="988"/>
      <c r="H201" s="988"/>
      <c r="I201" s="988"/>
      <c r="J201" s="988"/>
      <c r="K201" s="988"/>
      <c r="L201" s="988"/>
      <c r="M201" s="988"/>
      <c r="N201" s="988"/>
    </row>
    <row r="202" spans="1:28" x14ac:dyDescent="0.2">
      <c r="B202" s="307" t="s">
        <v>488</v>
      </c>
      <c r="C202" s="244">
        <v>95</v>
      </c>
      <c r="D202" s="244">
        <v>95</v>
      </c>
      <c r="E202" s="244">
        <v>95</v>
      </c>
      <c r="F202" s="244">
        <v>95</v>
      </c>
      <c r="G202" s="244">
        <v>95</v>
      </c>
      <c r="H202" s="244">
        <v>95</v>
      </c>
      <c r="I202" s="244">
        <v>95</v>
      </c>
      <c r="J202" s="244">
        <v>95</v>
      </c>
      <c r="K202" s="244">
        <v>95</v>
      </c>
      <c r="L202" s="244">
        <v>95</v>
      </c>
      <c r="M202" s="244">
        <v>94</v>
      </c>
      <c r="N202" s="278">
        <v>94</v>
      </c>
    </row>
    <row r="203" spans="1:28" x14ac:dyDescent="0.2">
      <c r="B203" s="308" t="s">
        <v>489</v>
      </c>
      <c r="C203" s="244">
        <v>4</v>
      </c>
      <c r="D203" s="244">
        <v>4</v>
      </c>
      <c r="E203" s="244">
        <v>4</v>
      </c>
      <c r="F203" s="244">
        <v>4</v>
      </c>
      <c r="G203" s="244">
        <v>3</v>
      </c>
      <c r="H203" s="244">
        <v>3</v>
      </c>
      <c r="I203" s="244">
        <v>3</v>
      </c>
      <c r="J203" s="244">
        <v>3</v>
      </c>
      <c r="K203" s="244">
        <v>1</v>
      </c>
      <c r="L203" s="244">
        <v>0</v>
      </c>
      <c r="M203" s="244">
        <v>0</v>
      </c>
      <c r="N203" s="252">
        <v>0</v>
      </c>
    </row>
    <row r="204" spans="1:28" ht="10.5" thickBot="1" x14ac:dyDescent="0.25">
      <c r="A204" s="309"/>
      <c r="B204" s="308" t="s">
        <v>490</v>
      </c>
      <c r="C204" s="244">
        <v>1</v>
      </c>
      <c r="D204" s="244">
        <v>1</v>
      </c>
      <c r="E204" s="244">
        <v>2</v>
      </c>
      <c r="F204" s="244">
        <v>2</v>
      </c>
      <c r="G204" s="244">
        <v>2</v>
      </c>
      <c r="H204" s="244">
        <v>3</v>
      </c>
      <c r="I204" s="244">
        <v>4</v>
      </c>
      <c r="J204" s="244">
        <v>3</v>
      </c>
      <c r="K204" s="244">
        <v>4</v>
      </c>
      <c r="L204" s="244">
        <v>3</v>
      </c>
      <c r="M204" s="244">
        <v>3</v>
      </c>
      <c r="N204" s="247">
        <v>3</v>
      </c>
    </row>
    <row r="205" spans="1:28" ht="11" thickBot="1" x14ac:dyDescent="0.3">
      <c r="A205" s="310"/>
      <c r="B205" s="248" t="s">
        <v>491</v>
      </c>
      <c r="C205" s="250">
        <v>96.6</v>
      </c>
      <c r="D205" s="254">
        <v>96.6</v>
      </c>
      <c r="E205" s="254">
        <v>97.6</v>
      </c>
      <c r="F205" s="254">
        <v>97.6</v>
      </c>
      <c r="G205" s="254">
        <v>97.45</v>
      </c>
      <c r="H205" s="254">
        <v>98.45</v>
      </c>
      <c r="I205" s="254">
        <v>99.45</v>
      </c>
      <c r="J205" s="254">
        <v>98.45</v>
      </c>
      <c r="K205" s="254">
        <v>99.15</v>
      </c>
      <c r="L205" s="254">
        <v>98</v>
      </c>
      <c r="M205" s="254">
        <v>97</v>
      </c>
      <c r="N205" s="254">
        <v>97</v>
      </c>
      <c r="O205" s="251">
        <v>97.779166666666654</v>
      </c>
    </row>
    <row r="206" spans="1:28" x14ac:dyDescent="0.2">
      <c r="A206" s="311"/>
      <c r="B206" s="312" t="s">
        <v>492</v>
      </c>
      <c r="C206" s="242">
        <v>95</v>
      </c>
      <c r="D206" s="242">
        <v>95</v>
      </c>
      <c r="E206" s="242">
        <v>95</v>
      </c>
      <c r="F206" s="242">
        <v>95</v>
      </c>
      <c r="G206" s="242">
        <v>95</v>
      </c>
      <c r="H206" s="242">
        <v>95</v>
      </c>
      <c r="I206" s="242">
        <v>95</v>
      </c>
      <c r="J206" s="242">
        <v>95</v>
      </c>
      <c r="K206" s="242">
        <v>95</v>
      </c>
      <c r="L206" s="242">
        <v>95</v>
      </c>
      <c r="M206" s="242">
        <v>94</v>
      </c>
      <c r="N206" s="242">
        <v>94</v>
      </c>
    </row>
    <row r="207" spans="1:28" x14ac:dyDescent="0.2">
      <c r="A207" s="311"/>
      <c r="B207" s="313" t="s">
        <v>493</v>
      </c>
      <c r="C207" s="314">
        <v>4</v>
      </c>
      <c r="D207" s="314">
        <v>4</v>
      </c>
      <c r="E207" s="314">
        <v>4</v>
      </c>
      <c r="F207" s="314">
        <v>4</v>
      </c>
      <c r="G207" s="314">
        <v>3</v>
      </c>
      <c r="H207" s="314">
        <v>3</v>
      </c>
      <c r="I207" s="314">
        <v>3</v>
      </c>
      <c r="J207" s="314">
        <v>3</v>
      </c>
      <c r="K207" s="314">
        <v>1</v>
      </c>
      <c r="L207" s="314">
        <v>0</v>
      </c>
      <c r="M207" s="314">
        <v>0</v>
      </c>
      <c r="N207" s="314">
        <v>0</v>
      </c>
    </row>
    <row r="208" spans="1:28" ht="10.5" thickBot="1" x14ac:dyDescent="0.25">
      <c r="A208" s="236"/>
      <c r="B208" s="313" t="s">
        <v>494</v>
      </c>
      <c r="C208" s="297">
        <v>1</v>
      </c>
      <c r="D208" s="297">
        <v>1</v>
      </c>
      <c r="E208" s="297">
        <v>2</v>
      </c>
      <c r="F208" s="297">
        <v>2</v>
      </c>
      <c r="G208" s="297">
        <v>2</v>
      </c>
      <c r="H208" s="297">
        <v>3</v>
      </c>
      <c r="I208" s="297">
        <v>4</v>
      </c>
      <c r="J208" s="297">
        <v>3</v>
      </c>
      <c r="K208" s="297">
        <v>4</v>
      </c>
      <c r="L208" s="297">
        <v>3</v>
      </c>
      <c r="M208" s="297">
        <v>3</v>
      </c>
      <c r="N208" s="297">
        <v>3</v>
      </c>
    </row>
    <row r="209" spans="1:28" ht="11" thickBot="1" x14ac:dyDescent="0.3">
      <c r="A209" s="315"/>
      <c r="B209" s="257" t="s">
        <v>495</v>
      </c>
      <c r="C209" s="250">
        <v>96.6</v>
      </c>
      <c r="D209" s="254">
        <v>96.6</v>
      </c>
      <c r="E209" s="254">
        <v>97.6</v>
      </c>
      <c r="F209" s="254">
        <v>97.6</v>
      </c>
      <c r="G209" s="254">
        <v>97.45</v>
      </c>
      <c r="H209" s="254">
        <v>98.45</v>
      </c>
      <c r="I209" s="254">
        <v>99.45</v>
      </c>
      <c r="J209" s="254">
        <v>98.45</v>
      </c>
      <c r="K209" s="254">
        <v>99.15</v>
      </c>
      <c r="L209" s="254">
        <v>98</v>
      </c>
      <c r="M209" s="254">
        <v>97</v>
      </c>
      <c r="N209" s="254">
        <v>97</v>
      </c>
      <c r="O209" s="251">
        <v>97.779166666666654</v>
      </c>
      <c r="P209" s="264" t="s">
        <v>496</v>
      </c>
      <c r="Q209" s="235">
        <v>95</v>
      </c>
      <c r="R209" s="235">
        <v>95</v>
      </c>
      <c r="S209" s="235">
        <v>95</v>
      </c>
      <c r="T209" s="235">
        <v>95</v>
      </c>
      <c r="U209" s="235">
        <v>95</v>
      </c>
      <c r="V209" s="235">
        <v>95</v>
      </c>
      <c r="W209" s="235">
        <v>95</v>
      </c>
      <c r="X209" s="235">
        <v>95</v>
      </c>
      <c r="Y209" s="235">
        <v>95</v>
      </c>
      <c r="Z209" s="235">
        <v>95</v>
      </c>
      <c r="AA209" s="235">
        <v>94</v>
      </c>
      <c r="AB209" s="235">
        <v>94</v>
      </c>
    </row>
    <row r="210" spans="1:28" x14ac:dyDescent="0.2">
      <c r="A210" s="315"/>
      <c r="B210" s="316" t="s">
        <v>497</v>
      </c>
      <c r="C210" s="298">
        <v>95</v>
      </c>
      <c r="D210" s="267">
        <v>95</v>
      </c>
      <c r="E210" s="267">
        <v>95</v>
      </c>
      <c r="F210" s="267">
        <v>95</v>
      </c>
      <c r="G210" s="267">
        <v>95</v>
      </c>
      <c r="H210" s="267">
        <v>95</v>
      </c>
      <c r="I210" s="267">
        <v>95</v>
      </c>
      <c r="J210" s="267">
        <v>95</v>
      </c>
      <c r="K210" s="267">
        <v>95</v>
      </c>
      <c r="L210" s="267">
        <v>95</v>
      </c>
      <c r="M210" s="267">
        <v>94.909090909090907</v>
      </c>
      <c r="N210" s="267">
        <v>94.833333333333329</v>
      </c>
      <c r="P210" s="264" t="s">
        <v>498</v>
      </c>
      <c r="Q210" s="235">
        <v>4</v>
      </c>
      <c r="R210" s="235">
        <v>4</v>
      </c>
      <c r="S210" s="235">
        <v>4</v>
      </c>
      <c r="T210" s="235">
        <v>4</v>
      </c>
      <c r="U210" s="235">
        <v>3</v>
      </c>
      <c r="V210" s="235">
        <v>3</v>
      </c>
      <c r="W210" s="235">
        <v>3</v>
      </c>
      <c r="X210" s="235">
        <v>3</v>
      </c>
      <c r="Y210" s="235">
        <v>1</v>
      </c>
      <c r="Z210" s="235">
        <v>0</v>
      </c>
      <c r="AA210" s="235">
        <v>0</v>
      </c>
      <c r="AB210" s="235">
        <v>0</v>
      </c>
    </row>
    <row r="211" spans="1:28" x14ac:dyDescent="0.2">
      <c r="A211" s="315"/>
      <c r="B211" s="316" t="s">
        <v>499</v>
      </c>
      <c r="C211" s="304">
        <v>4</v>
      </c>
      <c r="D211" s="271">
        <v>4</v>
      </c>
      <c r="E211" s="271">
        <v>4</v>
      </c>
      <c r="F211" s="271">
        <v>4</v>
      </c>
      <c r="G211" s="271">
        <v>3.8</v>
      </c>
      <c r="H211" s="271">
        <v>3.6666666666666665</v>
      </c>
      <c r="I211" s="271">
        <v>3.5714285714285716</v>
      </c>
      <c r="J211" s="271">
        <v>3.5</v>
      </c>
      <c r="K211" s="271">
        <v>3.2222222222222223</v>
      </c>
      <c r="L211" s="271">
        <v>2.9</v>
      </c>
      <c r="M211" s="271">
        <v>2.6363636363636362</v>
      </c>
      <c r="N211" s="271">
        <v>2.4166666666666665</v>
      </c>
      <c r="P211" s="264" t="s">
        <v>500</v>
      </c>
      <c r="Q211" s="235">
        <v>1</v>
      </c>
      <c r="R211" s="235">
        <v>1</v>
      </c>
      <c r="S211" s="235">
        <v>2</v>
      </c>
      <c r="T211" s="235">
        <v>2</v>
      </c>
      <c r="U211" s="235">
        <v>2</v>
      </c>
      <c r="V211" s="235">
        <v>3</v>
      </c>
      <c r="W211" s="235">
        <v>4</v>
      </c>
      <c r="X211" s="235">
        <v>3</v>
      </c>
      <c r="Y211" s="235">
        <v>4</v>
      </c>
      <c r="Z211" s="235">
        <v>3</v>
      </c>
      <c r="AA211" s="235">
        <v>3</v>
      </c>
      <c r="AB211" s="235">
        <v>3</v>
      </c>
    </row>
    <row r="212" spans="1:28" ht="10.5" thickBot="1" x14ac:dyDescent="0.25">
      <c r="A212" s="315"/>
      <c r="B212" s="316" t="s">
        <v>501</v>
      </c>
      <c r="C212" s="317">
        <v>1</v>
      </c>
      <c r="D212" s="271">
        <v>1</v>
      </c>
      <c r="E212" s="271">
        <v>1.3333333333333333</v>
      </c>
      <c r="F212" s="271">
        <v>1.5</v>
      </c>
      <c r="G212" s="271">
        <v>1.6</v>
      </c>
      <c r="H212" s="272">
        <v>1.8333333333333333</v>
      </c>
      <c r="I212" s="272">
        <v>2.1428571428571428</v>
      </c>
      <c r="J212" s="272">
        <v>2.25</v>
      </c>
      <c r="K212" s="272">
        <v>2.4444444444444446</v>
      </c>
      <c r="L212" s="272">
        <v>2.5</v>
      </c>
      <c r="M212" s="272">
        <v>2.5454545454545454</v>
      </c>
      <c r="N212" s="271">
        <v>2.5833333333333335</v>
      </c>
      <c r="P212" s="235" t="s">
        <v>502</v>
      </c>
      <c r="Q212" s="235">
        <v>95</v>
      </c>
      <c r="R212" s="235">
        <v>190</v>
      </c>
      <c r="S212" s="235">
        <v>285</v>
      </c>
      <c r="T212" s="235">
        <v>380</v>
      </c>
      <c r="U212" s="235">
        <v>475</v>
      </c>
      <c r="V212" s="235">
        <v>570</v>
      </c>
      <c r="W212" s="235">
        <v>665</v>
      </c>
      <c r="X212" s="235">
        <v>760</v>
      </c>
      <c r="Y212" s="235">
        <v>855</v>
      </c>
      <c r="Z212" s="235">
        <v>950</v>
      </c>
      <c r="AA212" s="235">
        <v>1044</v>
      </c>
      <c r="AB212" s="235">
        <v>1138</v>
      </c>
    </row>
    <row r="213" spans="1:28" ht="11" thickBot="1" x14ac:dyDescent="0.3">
      <c r="B213" s="318" t="s">
        <v>503</v>
      </c>
      <c r="C213" s="274">
        <v>96.6</v>
      </c>
      <c r="D213" s="274">
        <v>96.6</v>
      </c>
      <c r="E213" s="274">
        <v>96.933333333333323</v>
      </c>
      <c r="F213" s="274">
        <v>97.1</v>
      </c>
      <c r="G213" s="274">
        <v>97.169999999999987</v>
      </c>
      <c r="H213" s="274">
        <v>97.383333333333326</v>
      </c>
      <c r="I213" s="274">
        <v>97.678571428571431</v>
      </c>
      <c r="J213" s="274">
        <v>97.775000000000006</v>
      </c>
      <c r="K213" s="274">
        <v>97.927777777777777</v>
      </c>
      <c r="L213" s="274">
        <v>97.935000000000002</v>
      </c>
      <c r="M213" s="274">
        <v>97.85</v>
      </c>
      <c r="N213" s="274">
        <v>97.779166666666654</v>
      </c>
      <c r="P213" s="235" t="s">
        <v>504</v>
      </c>
      <c r="Q213" s="235">
        <v>4</v>
      </c>
      <c r="R213" s="235">
        <v>8</v>
      </c>
      <c r="S213" s="235">
        <v>12</v>
      </c>
      <c r="T213" s="235">
        <v>16</v>
      </c>
      <c r="U213" s="235">
        <v>19</v>
      </c>
      <c r="V213" s="235">
        <v>22</v>
      </c>
      <c r="W213" s="235">
        <v>25</v>
      </c>
      <c r="X213" s="235">
        <v>28</v>
      </c>
      <c r="Y213" s="235">
        <v>29</v>
      </c>
      <c r="Z213" s="235">
        <v>29</v>
      </c>
      <c r="AA213" s="235">
        <v>29</v>
      </c>
      <c r="AB213" s="235">
        <v>29</v>
      </c>
    </row>
    <row r="214" spans="1:28" x14ac:dyDescent="0.2">
      <c r="P214" s="235" t="s">
        <v>505</v>
      </c>
      <c r="Q214" s="235">
        <v>1</v>
      </c>
      <c r="R214" s="235">
        <v>2</v>
      </c>
      <c r="S214" s="235">
        <v>4</v>
      </c>
      <c r="T214" s="235">
        <v>6</v>
      </c>
      <c r="U214" s="235">
        <v>8</v>
      </c>
      <c r="V214" s="235">
        <v>11</v>
      </c>
      <c r="W214" s="235">
        <v>15</v>
      </c>
      <c r="X214" s="235">
        <v>18</v>
      </c>
      <c r="Y214" s="235">
        <v>22</v>
      </c>
      <c r="Z214" s="235">
        <v>25</v>
      </c>
      <c r="AA214" s="235">
        <v>28</v>
      </c>
      <c r="AB214" s="235">
        <v>31</v>
      </c>
    </row>
    <row r="215" spans="1:28" ht="10.5" x14ac:dyDescent="0.25">
      <c r="B215" s="292"/>
      <c r="C215" s="293"/>
      <c r="D215" s="294"/>
      <c r="E215" s="294"/>
      <c r="F215" s="294"/>
    </row>
    <row r="218" spans="1:28" ht="10.5" x14ac:dyDescent="0.25">
      <c r="A218" s="291"/>
    </row>
    <row r="219" spans="1:28" ht="18" x14ac:dyDescent="0.4">
      <c r="B219" s="983" t="s">
        <v>506</v>
      </c>
      <c r="C219" s="983"/>
      <c r="D219" s="983"/>
      <c r="E219" s="983"/>
      <c r="F219" s="983"/>
      <c r="G219" s="983"/>
      <c r="H219" s="983"/>
      <c r="I219" s="983"/>
      <c r="J219" s="983"/>
      <c r="K219" s="983"/>
      <c r="L219" s="983"/>
      <c r="M219" s="983"/>
      <c r="N219" s="983"/>
    </row>
    <row r="220" spans="1:28" ht="10.5" thickBot="1" x14ac:dyDescent="0.25"/>
    <row r="221" spans="1:28" ht="16" thickBot="1" x14ac:dyDescent="0.4">
      <c r="B221" s="319" t="s">
        <v>3</v>
      </c>
      <c r="C221" s="984" t="s">
        <v>309</v>
      </c>
      <c r="D221" s="985"/>
      <c r="E221" s="985"/>
      <c r="F221" s="985"/>
      <c r="G221" s="985"/>
      <c r="H221" s="985"/>
      <c r="I221" s="985"/>
      <c r="J221" s="985"/>
      <c r="K221" s="985"/>
      <c r="L221" s="985"/>
      <c r="M221" s="985"/>
      <c r="N221" s="986"/>
    </row>
    <row r="222" spans="1:28" ht="15.5" x14ac:dyDescent="0.35">
      <c r="B222" s="320"/>
      <c r="C222" s="987" t="s">
        <v>310</v>
      </c>
      <c r="D222" s="987" t="s">
        <v>311</v>
      </c>
      <c r="E222" s="987" t="s">
        <v>312</v>
      </c>
      <c r="F222" s="987" t="s">
        <v>313</v>
      </c>
      <c r="G222" s="987" t="s">
        <v>314</v>
      </c>
      <c r="H222" s="987" t="s">
        <v>315</v>
      </c>
      <c r="I222" s="987" t="s">
        <v>316</v>
      </c>
      <c r="J222" s="987" t="s">
        <v>317</v>
      </c>
      <c r="K222" s="987" t="s">
        <v>318</v>
      </c>
      <c r="L222" s="987" t="s">
        <v>319</v>
      </c>
      <c r="M222" s="987" t="s">
        <v>320</v>
      </c>
      <c r="N222" s="987" t="s">
        <v>321</v>
      </c>
    </row>
    <row r="223" spans="1:28" ht="12" thickBot="1" x14ac:dyDescent="0.3">
      <c r="B223" s="239" t="s">
        <v>322</v>
      </c>
      <c r="C223" s="988"/>
      <c r="D223" s="988"/>
      <c r="E223" s="988"/>
      <c r="F223" s="988"/>
      <c r="G223" s="988"/>
      <c r="H223" s="988"/>
      <c r="I223" s="988"/>
      <c r="J223" s="988"/>
      <c r="K223" s="988"/>
      <c r="L223" s="988"/>
      <c r="M223" s="988"/>
      <c r="N223" s="988"/>
    </row>
    <row r="224" spans="1:28" x14ac:dyDescent="0.2">
      <c r="B224" s="278" t="s">
        <v>507</v>
      </c>
      <c r="C224" s="242">
        <v>1236</v>
      </c>
      <c r="D224" s="242">
        <v>1236</v>
      </c>
      <c r="E224" s="242">
        <v>1233</v>
      </c>
      <c r="F224" s="242">
        <v>1234</v>
      </c>
      <c r="G224" s="242">
        <v>1231</v>
      </c>
      <c r="H224" s="242">
        <v>1230</v>
      </c>
      <c r="I224" s="242">
        <v>1228</v>
      </c>
      <c r="J224" s="242">
        <v>1226</v>
      </c>
      <c r="K224" s="242">
        <v>1225</v>
      </c>
      <c r="L224" s="242">
        <v>1221</v>
      </c>
      <c r="M224" s="242">
        <v>1222</v>
      </c>
      <c r="N224" s="242">
        <v>1192</v>
      </c>
    </row>
    <row r="225" spans="1:28" x14ac:dyDescent="0.2">
      <c r="B225" s="252" t="s">
        <v>508</v>
      </c>
      <c r="C225" s="252">
        <v>62</v>
      </c>
      <c r="D225" s="252">
        <v>62</v>
      </c>
      <c r="E225" s="252">
        <v>61</v>
      </c>
      <c r="F225" s="252">
        <v>60</v>
      </c>
      <c r="G225" s="252">
        <v>59</v>
      </c>
      <c r="H225" s="252">
        <v>57</v>
      </c>
      <c r="I225" s="252">
        <v>54</v>
      </c>
      <c r="J225" s="252">
        <v>53</v>
      </c>
      <c r="K225" s="252">
        <v>44</v>
      </c>
      <c r="L225" s="252">
        <v>41</v>
      </c>
      <c r="M225" s="252">
        <v>39</v>
      </c>
      <c r="N225" s="252">
        <v>51</v>
      </c>
    </row>
    <row r="226" spans="1:28" ht="10.5" thickBot="1" x14ac:dyDescent="0.25">
      <c r="B226" s="252" t="s">
        <v>509</v>
      </c>
      <c r="C226" s="297">
        <v>113</v>
      </c>
      <c r="D226" s="297">
        <v>122</v>
      </c>
      <c r="E226" s="297">
        <v>122</v>
      </c>
      <c r="F226" s="297">
        <v>133</v>
      </c>
      <c r="G226" s="297">
        <v>133</v>
      </c>
      <c r="H226" s="297">
        <v>155</v>
      </c>
      <c r="I226" s="297">
        <v>157</v>
      </c>
      <c r="J226" s="297">
        <v>151</v>
      </c>
      <c r="K226" s="297">
        <v>152</v>
      </c>
      <c r="L226" s="297">
        <v>141</v>
      </c>
      <c r="M226" s="297">
        <v>138</v>
      </c>
      <c r="N226" s="297">
        <v>121</v>
      </c>
    </row>
    <row r="227" spans="1:28" ht="11" thickBot="1" x14ac:dyDescent="0.3">
      <c r="B227" s="248" t="s">
        <v>510</v>
      </c>
      <c r="C227" s="250">
        <v>1358.3</v>
      </c>
      <c r="D227" s="254">
        <v>1367.3</v>
      </c>
      <c r="E227" s="254">
        <v>1364.15</v>
      </c>
      <c r="F227" s="254">
        <v>1376</v>
      </c>
      <c r="G227" s="254">
        <v>1372.85</v>
      </c>
      <c r="H227" s="254">
        <v>1393.55</v>
      </c>
      <c r="I227" s="254">
        <v>1393.1</v>
      </c>
      <c r="J227" s="254">
        <v>1384.95</v>
      </c>
      <c r="K227" s="254">
        <v>1383.6</v>
      </c>
      <c r="L227" s="254">
        <v>1368.15</v>
      </c>
      <c r="M227" s="254">
        <v>1365.85</v>
      </c>
      <c r="N227" s="254">
        <v>1320.65</v>
      </c>
      <c r="P227" s="264" t="s">
        <v>511</v>
      </c>
      <c r="Q227" s="235">
        <v>1236</v>
      </c>
      <c r="R227" s="235">
        <v>1236</v>
      </c>
      <c r="S227" s="235">
        <v>1233</v>
      </c>
      <c r="T227" s="235">
        <v>1234</v>
      </c>
      <c r="U227" s="235">
        <v>1231</v>
      </c>
      <c r="V227" s="235">
        <v>1230</v>
      </c>
      <c r="W227" s="235">
        <v>1228</v>
      </c>
      <c r="X227" s="235">
        <v>1226</v>
      </c>
      <c r="Y227" s="235">
        <v>1225</v>
      </c>
      <c r="Z227" s="235">
        <v>1221</v>
      </c>
      <c r="AA227" s="235">
        <v>1222</v>
      </c>
      <c r="AB227" s="235">
        <v>1192</v>
      </c>
    </row>
    <row r="228" spans="1:28" x14ac:dyDescent="0.2">
      <c r="B228" s="269" t="s">
        <v>512</v>
      </c>
      <c r="C228" s="270">
        <v>1236</v>
      </c>
      <c r="D228" s="267">
        <v>1236</v>
      </c>
      <c r="E228" s="267">
        <v>1235</v>
      </c>
      <c r="F228" s="267">
        <v>1234.75</v>
      </c>
      <c r="G228" s="267">
        <v>1234</v>
      </c>
      <c r="H228" s="267">
        <v>1233.3333333333333</v>
      </c>
      <c r="I228" s="267">
        <v>1232.5714285714287</v>
      </c>
      <c r="J228" s="267">
        <v>1231.75</v>
      </c>
      <c r="K228" s="267">
        <v>1231</v>
      </c>
      <c r="L228" s="267">
        <v>1230</v>
      </c>
      <c r="M228" s="267">
        <v>1229.2727272727273</v>
      </c>
      <c r="N228" s="267">
        <v>1226.1666666666667</v>
      </c>
      <c r="P228" s="264" t="s">
        <v>513</v>
      </c>
      <c r="Q228" s="235">
        <v>62</v>
      </c>
      <c r="R228" s="235">
        <v>62</v>
      </c>
      <c r="S228" s="235">
        <v>61</v>
      </c>
      <c r="T228" s="235">
        <v>60</v>
      </c>
      <c r="U228" s="235">
        <v>59</v>
      </c>
      <c r="V228" s="235">
        <v>57</v>
      </c>
      <c r="W228" s="235">
        <v>54</v>
      </c>
      <c r="X228" s="235">
        <v>53</v>
      </c>
      <c r="Y228" s="235">
        <v>44</v>
      </c>
      <c r="Z228" s="235">
        <v>41</v>
      </c>
      <c r="AA228" s="235">
        <v>39</v>
      </c>
      <c r="AB228" s="235">
        <v>51</v>
      </c>
    </row>
    <row r="229" spans="1:28" x14ac:dyDescent="0.2">
      <c r="B229" s="269" t="s">
        <v>514</v>
      </c>
      <c r="C229" s="270">
        <v>62</v>
      </c>
      <c r="D229" s="271">
        <v>62</v>
      </c>
      <c r="E229" s="271">
        <v>61.666666666666664</v>
      </c>
      <c r="F229" s="271">
        <v>61.25</v>
      </c>
      <c r="G229" s="271">
        <v>60.8</v>
      </c>
      <c r="H229" s="271">
        <v>60.166666666666664</v>
      </c>
      <c r="I229" s="271">
        <v>59.285714285714285</v>
      </c>
      <c r="J229" s="271">
        <v>58.5</v>
      </c>
      <c r="K229" s="271">
        <v>56.888888888888886</v>
      </c>
      <c r="L229" s="271">
        <v>55.3</v>
      </c>
      <c r="M229" s="271">
        <v>53.81818181818182</v>
      </c>
      <c r="N229" s="271">
        <v>53.583333333333336</v>
      </c>
      <c r="P229" s="264" t="s">
        <v>515</v>
      </c>
      <c r="Q229" s="235">
        <v>113</v>
      </c>
      <c r="R229" s="235">
        <v>122</v>
      </c>
      <c r="S229" s="235">
        <v>122</v>
      </c>
      <c r="T229" s="235">
        <v>133</v>
      </c>
      <c r="U229" s="235">
        <v>133</v>
      </c>
      <c r="V229" s="235">
        <v>155</v>
      </c>
      <c r="W229" s="235">
        <v>157</v>
      </c>
      <c r="X229" s="235">
        <v>151</v>
      </c>
      <c r="Y229" s="235">
        <v>152</v>
      </c>
      <c r="Z229" s="235">
        <v>141</v>
      </c>
      <c r="AA229" s="235">
        <v>138</v>
      </c>
      <c r="AB229" s="235">
        <v>121</v>
      </c>
    </row>
    <row r="230" spans="1:28" ht="10.5" thickBot="1" x14ac:dyDescent="0.25">
      <c r="B230" s="269" t="s">
        <v>516</v>
      </c>
      <c r="C230" s="270">
        <v>113</v>
      </c>
      <c r="D230" s="271">
        <v>117.5</v>
      </c>
      <c r="E230" s="271">
        <v>119</v>
      </c>
      <c r="F230" s="271">
        <v>122.5</v>
      </c>
      <c r="G230" s="271">
        <v>124.6</v>
      </c>
      <c r="H230" s="272">
        <v>129.66666666666666</v>
      </c>
      <c r="I230" s="272">
        <v>133.57142857142858</v>
      </c>
      <c r="J230" s="272">
        <v>135.75</v>
      </c>
      <c r="K230" s="272">
        <v>137.55555555555554</v>
      </c>
      <c r="L230" s="272">
        <v>137.9</v>
      </c>
      <c r="M230" s="272">
        <v>137.90909090909091</v>
      </c>
      <c r="N230" s="271">
        <v>136.5</v>
      </c>
      <c r="P230" s="235" t="s">
        <v>517</v>
      </c>
      <c r="Q230" s="235">
        <v>1236</v>
      </c>
      <c r="R230" s="235">
        <v>2472</v>
      </c>
      <c r="S230" s="235">
        <v>3705</v>
      </c>
      <c r="T230" s="235">
        <v>4939</v>
      </c>
      <c r="U230" s="235">
        <v>6170</v>
      </c>
      <c r="V230" s="235">
        <v>7400</v>
      </c>
      <c r="W230" s="235">
        <v>8628</v>
      </c>
      <c r="X230" s="235">
        <v>9854</v>
      </c>
      <c r="Y230" s="235">
        <v>11079</v>
      </c>
      <c r="Z230" s="235">
        <v>12300</v>
      </c>
      <c r="AA230" s="235">
        <v>13522</v>
      </c>
      <c r="AB230" s="235">
        <v>14714</v>
      </c>
    </row>
    <row r="231" spans="1:28" ht="11" thickBot="1" x14ac:dyDescent="0.3">
      <c r="B231" s="273" t="s">
        <v>518</v>
      </c>
      <c r="C231" s="274">
        <v>1358.3</v>
      </c>
      <c r="D231" s="274">
        <v>1362.8</v>
      </c>
      <c r="E231" s="274">
        <v>1363.25</v>
      </c>
      <c r="F231" s="274">
        <v>1366.4375</v>
      </c>
      <c r="G231" s="274">
        <v>1367.7199999999998</v>
      </c>
      <c r="H231" s="274">
        <v>1372.0250000000001</v>
      </c>
      <c r="I231" s="274">
        <v>1375.0357142857144</v>
      </c>
      <c r="J231" s="274">
        <v>1376.2750000000001</v>
      </c>
      <c r="K231" s="274">
        <v>1377.088888888889</v>
      </c>
      <c r="L231" s="274">
        <v>1376.1950000000002</v>
      </c>
      <c r="M231" s="274">
        <v>1375.2545454545455</v>
      </c>
      <c r="N231" s="274">
        <v>1370.7041666666667</v>
      </c>
      <c r="P231" s="235" t="s">
        <v>519</v>
      </c>
      <c r="Q231" s="235">
        <v>62</v>
      </c>
      <c r="R231" s="235">
        <v>124</v>
      </c>
      <c r="S231" s="235">
        <v>185</v>
      </c>
      <c r="T231" s="235">
        <v>245</v>
      </c>
      <c r="U231" s="235">
        <v>304</v>
      </c>
      <c r="V231" s="235">
        <v>361</v>
      </c>
      <c r="W231" s="235">
        <v>415</v>
      </c>
      <c r="X231" s="235">
        <v>468</v>
      </c>
      <c r="Y231" s="235">
        <v>512</v>
      </c>
      <c r="Z231" s="235">
        <v>553</v>
      </c>
      <c r="AA231" s="235">
        <v>592</v>
      </c>
      <c r="AB231" s="235">
        <v>643</v>
      </c>
    </row>
    <row r="232" spans="1:28" x14ac:dyDescent="0.2">
      <c r="A232" s="264"/>
      <c r="B232" s="321" t="s">
        <v>520</v>
      </c>
      <c r="C232" s="322">
        <v>1236</v>
      </c>
      <c r="D232" s="322">
        <v>1236</v>
      </c>
      <c r="E232" s="322">
        <v>1233</v>
      </c>
      <c r="F232" s="322">
        <v>1234</v>
      </c>
      <c r="G232" s="322">
        <v>1231</v>
      </c>
      <c r="H232" s="322">
        <v>1230</v>
      </c>
      <c r="I232" s="322">
        <v>1228</v>
      </c>
      <c r="J232" s="322">
        <v>1226</v>
      </c>
      <c r="K232" s="322">
        <v>1225</v>
      </c>
      <c r="L232" s="322">
        <v>1221</v>
      </c>
      <c r="M232" s="322">
        <v>1222</v>
      </c>
      <c r="N232" s="322">
        <v>1192</v>
      </c>
      <c r="P232" s="235" t="s">
        <v>521</v>
      </c>
      <c r="Q232" s="235">
        <v>113</v>
      </c>
      <c r="R232" s="235">
        <v>235</v>
      </c>
      <c r="S232" s="235">
        <v>357</v>
      </c>
      <c r="T232" s="235">
        <v>490</v>
      </c>
      <c r="U232" s="235">
        <v>623</v>
      </c>
      <c r="V232" s="235">
        <v>778</v>
      </c>
      <c r="W232" s="235">
        <v>935</v>
      </c>
      <c r="X232" s="235">
        <v>1086</v>
      </c>
      <c r="Y232" s="235">
        <v>1238</v>
      </c>
      <c r="Z232" s="235">
        <v>1379</v>
      </c>
      <c r="AA232" s="235">
        <v>1517</v>
      </c>
      <c r="AB232" s="235">
        <v>1638</v>
      </c>
    </row>
    <row r="233" spans="1:28" x14ac:dyDescent="0.2">
      <c r="A233" s="264"/>
      <c r="B233" s="321" t="s">
        <v>522</v>
      </c>
      <c r="C233" s="322">
        <v>62</v>
      </c>
      <c r="D233" s="322">
        <v>62</v>
      </c>
      <c r="E233" s="322">
        <v>61</v>
      </c>
      <c r="F233" s="322">
        <v>60</v>
      </c>
      <c r="G233" s="322">
        <v>59</v>
      </c>
      <c r="H233" s="322">
        <v>57</v>
      </c>
      <c r="I233" s="322">
        <v>54</v>
      </c>
      <c r="J233" s="322">
        <v>53</v>
      </c>
      <c r="K233" s="322">
        <v>44</v>
      </c>
      <c r="L233" s="322">
        <v>41</v>
      </c>
      <c r="M233" s="322">
        <v>39</v>
      </c>
      <c r="N233" s="322">
        <v>51</v>
      </c>
    </row>
    <row r="234" spans="1:28" x14ac:dyDescent="0.2">
      <c r="A234" s="264"/>
      <c r="B234" s="321" t="s">
        <v>523</v>
      </c>
      <c r="C234" s="322">
        <v>113</v>
      </c>
      <c r="D234" s="322">
        <v>122</v>
      </c>
      <c r="E234" s="322">
        <v>122</v>
      </c>
      <c r="F234" s="322">
        <v>133</v>
      </c>
      <c r="G234" s="322">
        <v>133</v>
      </c>
      <c r="H234" s="322">
        <v>155</v>
      </c>
      <c r="I234" s="322">
        <v>157</v>
      </c>
      <c r="J234" s="322">
        <v>151</v>
      </c>
      <c r="K234" s="322">
        <v>152</v>
      </c>
      <c r="L234" s="322">
        <v>141</v>
      </c>
      <c r="M234" s="322">
        <v>138</v>
      </c>
      <c r="N234" s="322">
        <v>121</v>
      </c>
    </row>
    <row r="235" spans="1:28" ht="10.5" x14ac:dyDescent="0.25">
      <c r="B235" s="323"/>
      <c r="C235" s="324">
        <v>1411</v>
      </c>
      <c r="D235" s="324">
        <v>1420</v>
      </c>
      <c r="E235" s="324">
        <v>1416</v>
      </c>
      <c r="F235" s="324">
        <v>1427</v>
      </c>
      <c r="G235" s="324">
        <v>1423</v>
      </c>
      <c r="H235" s="324">
        <v>1442</v>
      </c>
      <c r="I235" s="324">
        <v>1439</v>
      </c>
      <c r="J235" s="324">
        <v>1430</v>
      </c>
      <c r="K235" s="324">
        <v>1421</v>
      </c>
      <c r="L235" s="324">
        <v>1403</v>
      </c>
      <c r="M235" s="324">
        <v>1399</v>
      </c>
      <c r="N235" s="324">
        <v>1364</v>
      </c>
    </row>
    <row r="237" spans="1:28" x14ac:dyDescent="0.2">
      <c r="B237" s="325" t="s">
        <v>524</v>
      </c>
      <c r="C237" s="326"/>
      <c r="D237" s="326"/>
      <c r="E237" s="326"/>
      <c r="F237" s="326"/>
      <c r="G237" s="326"/>
      <c r="H237" s="326"/>
      <c r="I237" s="326"/>
      <c r="J237" s="326"/>
    </row>
    <row r="238" spans="1:28" x14ac:dyDescent="0.2">
      <c r="B238" s="275" t="s">
        <v>525</v>
      </c>
      <c r="C238" s="275"/>
      <c r="D238" s="275"/>
      <c r="E238" s="275"/>
      <c r="F238" s="275"/>
      <c r="G238" s="275"/>
      <c r="H238" s="275"/>
      <c r="I238" s="275"/>
      <c r="J238" s="275"/>
    </row>
  </sheetData>
  <mergeCells count="106"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C50:N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C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113:N113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C143:N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C159:N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B197:N197"/>
    <mergeCell ref="C199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219:N219"/>
    <mergeCell ref="C221:N221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</mergeCells>
  <printOptions horizontalCentered="1" verticalCentered="1"/>
  <pageMargins left="0" right="0" top="0.78740157480314965" bottom="0.19685039370078741" header="0" footer="0"/>
  <pageSetup paperSize="9" scale="71" orientation="landscape" r:id="rId1"/>
  <headerFooter alignWithMargins="0">
    <oddFooter>&amp;C&amp;A&amp;R&amp;F</oddFooter>
  </headerFooter>
  <rowBreaks count="4" manualBreakCount="4">
    <brk id="47" max="14" man="1"/>
    <brk id="110" max="14" man="1"/>
    <brk id="156" max="14" man="1"/>
    <brk id="1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  <pageSetUpPr fitToPage="1"/>
  </sheetPr>
  <dimension ref="A2:AA65"/>
  <sheetViews>
    <sheetView zoomScale="70" zoomScaleNormal="70" workbookViewId="0">
      <selection activeCell="I36" sqref="I36"/>
    </sheetView>
  </sheetViews>
  <sheetFormatPr baseColWidth="10" defaultRowHeight="15.5" x14ac:dyDescent="0.35"/>
  <cols>
    <col min="1" max="1" width="11" style="559"/>
    <col min="2" max="2" width="41.75" customWidth="1"/>
    <col min="3" max="3" width="0.83203125" customWidth="1"/>
    <col min="4" max="4" width="11.5" bestFit="1" customWidth="1"/>
    <col min="7" max="7" width="0.83203125" customWidth="1"/>
    <col min="11" max="11" width="0.83203125" customWidth="1"/>
    <col min="15" max="15" width="0.83203125" customWidth="1"/>
    <col min="19" max="19" width="0.83203125" customWidth="1"/>
  </cols>
  <sheetData>
    <row r="2" spans="2:22" ht="17.5" x14ac:dyDescent="0.35">
      <c r="B2" s="920" t="s">
        <v>574</v>
      </c>
      <c r="C2" s="920"/>
      <c r="D2" s="920"/>
      <c r="E2" s="920"/>
      <c r="F2" s="920"/>
      <c r="G2" s="920"/>
      <c r="H2" s="920"/>
      <c r="I2" s="920"/>
      <c r="J2" s="920"/>
      <c r="K2" s="920"/>
      <c r="L2" s="920"/>
      <c r="M2" s="920"/>
      <c r="N2" s="920"/>
      <c r="O2" s="920"/>
      <c r="P2" s="920"/>
      <c r="Q2" s="920"/>
      <c r="R2" s="920"/>
      <c r="S2" s="921"/>
      <c r="T2" s="921"/>
      <c r="U2" s="921"/>
      <c r="V2" s="921"/>
    </row>
    <row r="3" spans="2:22" x14ac:dyDescent="0.35"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682"/>
      <c r="T3" s="682"/>
      <c r="U3" s="682"/>
      <c r="V3" s="682"/>
    </row>
    <row r="4" spans="2:22" ht="17.5" x14ac:dyDescent="0.35">
      <c r="B4" s="548" t="s">
        <v>300</v>
      </c>
      <c r="C4" s="548"/>
      <c r="D4" s="919" t="s">
        <v>213</v>
      </c>
      <c r="E4" s="919"/>
      <c r="F4" s="919"/>
      <c r="G4" s="744"/>
      <c r="H4" s="919" t="s">
        <v>202</v>
      </c>
      <c r="I4" s="919"/>
      <c r="J4" s="919"/>
      <c r="K4" s="744"/>
      <c r="L4" s="919" t="s">
        <v>203</v>
      </c>
      <c r="M4" s="919"/>
      <c r="N4" s="919"/>
      <c r="O4" s="561"/>
      <c r="P4" s="919" t="s">
        <v>639</v>
      </c>
      <c r="Q4" s="919"/>
      <c r="R4" s="919"/>
      <c r="S4" s="561"/>
      <c r="T4" s="919" t="s">
        <v>549</v>
      </c>
      <c r="U4" s="919"/>
      <c r="V4" s="919"/>
    </row>
    <row r="5" spans="2:22" ht="7.5" customHeight="1" x14ac:dyDescent="0.35">
      <c r="B5" s="547"/>
      <c r="C5" s="547"/>
      <c r="D5" s="550"/>
      <c r="E5" s="550"/>
      <c r="F5" s="550"/>
      <c r="G5" s="549"/>
      <c r="H5" s="550"/>
      <c r="I5" s="550"/>
      <c r="J5" s="550"/>
      <c r="K5" s="549"/>
      <c r="L5" s="550"/>
      <c r="M5" s="550"/>
      <c r="N5" s="550"/>
      <c r="O5" s="547"/>
      <c r="P5" s="550"/>
      <c r="Q5" s="550"/>
      <c r="R5" s="550"/>
      <c r="S5" s="682"/>
      <c r="T5" s="550"/>
      <c r="U5" s="550"/>
      <c r="V5" s="550"/>
    </row>
    <row r="6" spans="2:22" x14ac:dyDescent="0.35">
      <c r="B6" s="547"/>
      <c r="C6" s="547"/>
      <c r="D6" s="742" t="s">
        <v>17</v>
      </c>
      <c r="E6" s="742" t="s">
        <v>17</v>
      </c>
      <c r="F6" s="742" t="s">
        <v>526</v>
      </c>
      <c r="G6" s="549"/>
      <c r="H6" s="742" t="s">
        <v>17</v>
      </c>
      <c r="I6" s="742" t="s">
        <v>17</v>
      </c>
      <c r="J6" s="742" t="s">
        <v>526</v>
      </c>
      <c r="K6" s="553"/>
      <c r="L6" s="742" t="s">
        <v>17</v>
      </c>
      <c r="M6" s="742" t="s">
        <v>17</v>
      </c>
      <c r="N6" s="742" t="s">
        <v>526</v>
      </c>
      <c r="O6" s="743"/>
      <c r="P6" s="742" t="s">
        <v>17</v>
      </c>
      <c r="Q6" s="742" t="s">
        <v>17</v>
      </c>
      <c r="R6" s="742" t="s">
        <v>526</v>
      </c>
      <c r="S6" s="743"/>
      <c r="T6" s="742" t="s">
        <v>17</v>
      </c>
      <c r="U6" s="742" t="s">
        <v>17</v>
      </c>
      <c r="V6" s="742" t="s">
        <v>526</v>
      </c>
    </row>
    <row r="7" spans="2:22" x14ac:dyDescent="0.35">
      <c r="B7" s="552"/>
      <c r="C7" s="552"/>
      <c r="D7" s="742">
        <v>2020</v>
      </c>
      <c r="E7" s="742">
        <v>2019</v>
      </c>
      <c r="F7" s="742" t="s">
        <v>560</v>
      </c>
      <c r="G7" s="549"/>
      <c r="H7" s="742">
        <v>2020</v>
      </c>
      <c r="I7" s="742">
        <v>2019</v>
      </c>
      <c r="J7" s="742" t="s">
        <v>560</v>
      </c>
      <c r="K7" s="553"/>
      <c r="L7" s="742">
        <v>2020</v>
      </c>
      <c r="M7" s="742">
        <v>2019</v>
      </c>
      <c r="N7" s="742" t="s">
        <v>560</v>
      </c>
      <c r="O7" s="743"/>
      <c r="P7" s="742">
        <v>2020</v>
      </c>
      <c r="Q7" s="742">
        <v>2019</v>
      </c>
      <c r="R7" s="742" t="s">
        <v>560</v>
      </c>
      <c r="S7" s="743"/>
      <c r="T7" s="742">
        <v>2020</v>
      </c>
      <c r="U7" s="742">
        <v>2019</v>
      </c>
      <c r="V7" s="742" t="s">
        <v>560</v>
      </c>
    </row>
    <row r="8" spans="2:22" x14ac:dyDescent="0.35">
      <c r="B8" s="549"/>
      <c r="C8" s="549"/>
      <c r="D8" s="553"/>
      <c r="E8" s="553"/>
      <c r="F8" s="553"/>
      <c r="G8" s="549"/>
      <c r="H8" s="553"/>
      <c r="I8" s="553"/>
      <c r="J8" s="553"/>
      <c r="K8" s="553"/>
      <c r="L8" s="553"/>
      <c r="M8" s="553"/>
      <c r="N8" s="553"/>
      <c r="O8" s="743"/>
      <c r="P8" s="743"/>
      <c r="Q8" s="743"/>
      <c r="R8" s="743"/>
      <c r="S8" s="743"/>
      <c r="T8" s="743"/>
      <c r="U8" s="743"/>
      <c r="V8" s="743"/>
    </row>
    <row r="9" spans="2:22" x14ac:dyDescent="0.35">
      <c r="B9" s="554" t="s">
        <v>212</v>
      </c>
      <c r="C9" s="554"/>
      <c r="D9" s="794">
        <v>330961</v>
      </c>
      <c r="E9" s="794">
        <v>391635</v>
      </c>
      <c r="F9" s="791">
        <f>(D9-E9)/E9*100</f>
        <v>-15.492486626578319</v>
      </c>
      <c r="G9" s="833"/>
      <c r="H9" s="794">
        <v>158737</v>
      </c>
      <c r="I9" s="794">
        <v>189587</v>
      </c>
      <c r="J9" s="791">
        <f>(H9-I9)/I9*100</f>
        <v>-16.272212757203818</v>
      </c>
      <c r="K9" s="792"/>
      <c r="L9" s="794">
        <v>57538</v>
      </c>
      <c r="M9" s="794">
        <v>57515</v>
      </c>
      <c r="N9" s="791">
        <f>(L9-M9)/M9*100</f>
        <v>3.9989567938798577E-2</v>
      </c>
      <c r="O9" s="793"/>
      <c r="P9" s="794">
        <v>0</v>
      </c>
      <c r="Q9" s="794">
        <v>0</v>
      </c>
      <c r="R9" s="791" t="s">
        <v>634</v>
      </c>
      <c r="S9" s="793"/>
      <c r="T9" s="794">
        <f>+D9+H9+L9+P9</f>
        <v>547236</v>
      </c>
      <c r="U9" s="794">
        <f>+E9+I9+M9+Q9</f>
        <v>638737</v>
      </c>
      <c r="V9" s="791">
        <f>(T9-U9)/U9*100</f>
        <v>-14.325301336856954</v>
      </c>
    </row>
    <row r="10" spans="2:22" x14ac:dyDescent="0.35">
      <c r="B10" s="549"/>
      <c r="C10" s="549"/>
      <c r="D10" s="834"/>
      <c r="E10" s="834"/>
      <c r="F10" s="791"/>
      <c r="G10" s="833"/>
      <c r="H10" s="834"/>
      <c r="I10" s="834"/>
      <c r="J10" s="791"/>
      <c r="K10" s="792"/>
      <c r="L10" s="834"/>
      <c r="M10" s="834"/>
      <c r="N10" s="791"/>
      <c r="O10" s="793"/>
      <c r="P10" s="835"/>
      <c r="Q10" s="835"/>
      <c r="R10" s="791"/>
      <c r="S10" s="793"/>
      <c r="T10" s="835"/>
      <c r="U10" s="835"/>
      <c r="V10" s="791"/>
    </row>
    <row r="11" spans="2:22" x14ac:dyDescent="0.35">
      <c r="B11" s="540" t="s">
        <v>636</v>
      </c>
      <c r="C11" s="529"/>
      <c r="D11" s="783">
        <v>27191</v>
      </c>
      <c r="E11" s="783">
        <v>37944</v>
      </c>
      <c r="F11" s="784">
        <f>(D11-E11)/E11*100</f>
        <v>-28.339131351465319</v>
      </c>
      <c r="G11" s="787"/>
      <c r="H11" s="836">
        <v>13961</v>
      </c>
      <c r="I11" s="836">
        <v>14708</v>
      </c>
      <c r="J11" s="784">
        <f>(H11-I11)/I11*100</f>
        <v>-5.0788686429154204</v>
      </c>
      <c r="K11" s="788"/>
      <c r="L11" s="836">
        <v>9355</v>
      </c>
      <c r="M11" s="836">
        <v>10708</v>
      </c>
      <c r="N11" s="784">
        <f>(L11-M11)/M11*100</f>
        <v>-12.635412775494956</v>
      </c>
      <c r="O11" s="789"/>
      <c r="P11" s="836">
        <v>-906</v>
      </c>
      <c r="Q11" s="836">
        <v>-2456</v>
      </c>
      <c r="R11" s="784">
        <f>(P11-Q11)/Q11*100</f>
        <v>-63.11074918566775</v>
      </c>
      <c r="S11" s="789"/>
      <c r="T11" s="836">
        <f>D11+H11+L11+P11</f>
        <v>49601</v>
      </c>
      <c r="U11" s="836">
        <f>E11+I11+M11+Q11</f>
        <v>60904</v>
      </c>
      <c r="V11" s="784">
        <f>(T11-U11)/U11*100</f>
        <v>-18.558715355313279</v>
      </c>
    </row>
    <row r="12" spans="2:22" x14ac:dyDescent="0.35">
      <c r="B12" s="526" t="s">
        <v>645</v>
      </c>
      <c r="C12" s="526"/>
      <c r="D12" s="834">
        <v>-19374</v>
      </c>
      <c r="E12" s="834">
        <v>-16169</v>
      </c>
      <c r="F12" s="791">
        <f>(D12-E12)/E12*100</f>
        <v>19.821881377945452</v>
      </c>
      <c r="G12" s="833"/>
      <c r="H12" s="834">
        <v>-7487</v>
      </c>
      <c r="I12" s="834">
        <v>-7296</v>
      </c>
      <c r="J12" s="791">
        <f>(H12-I12)/I12*100</f>
        <v>2.6178728070175441</v>
      </c>
      <c r="K12" s="792"/>
      <c r="L12" s="834">
        <v>-3468</v>
      </c>
      <c r="M12" s="834">
        <v>-3111</v>
      </c>
      <c r="N12" s="791">
        <f>(L12-M12)/M12*100</f>
        <v>11.475409836065573</v>
      </c>
      <c r="O12" s="793"/>
      <c r="P12" s="791" t="s">
        <v>306</v>
      </c>
      <c r="Q12" s="791" t="s">
        <v>306</v>
      </c>
      <c r="R12" s="791" t="s">
        <v>306</v>
      </c>
      <c r="S12" s="793"/>
      <c r="T12" s="794">
        <f>D12+H12+L12</f>
        <v>-30329</v>
      </c>
      <c r="U12" s="794">
        <f>E12+I12+M12</f>
        <v>-26576</v>
      </c>
      <c r="V12" s="791">
        <f>(T12-U12)/U12*100</f>
        <v>14.121763997591813</v>
      </c>
    </row>
    <row r="13" spans="2:22" x14ac:dyDescent="0.35">
      <c r="B13" s="554" t="s">
        <v>646</v>
      </c>
      <c r="C13" s="554"/>
      <c r="D13" s="791" t="s">
        <v>306</v>
      </c>
      <c r="E13" s="791" t="s">
        <v>306</v>
      </c>
      <c r="F13" s="791" t="s">
        <v>306</v>
      </c>
      <c r="G13" s="833"/>
      <c r="H13" s="791" t="s">
        <v>306</v>
      </c>
      <c r="I13" s="791" t="s">
        <v>306</v>
      </c>
      <c r="J13" s="791" t="s">
        <v>306</v>
      </c>
      <c r="K13" s="792"/>
      <c r="L13" s="791" t="s">
        <v>306</v>
      </c>
      <c r="M13" s="791" t="s">
        <v>306</v>
      </c>
      <c r="N13" s="791" t="s">
        <v>306</v>
      </c>
      <c r="O13" s="793"/>
      <c r="P13" s="794">
        <v>-4335</v>
      </c>
      <c r="Q13" s="794">
        <v>-5615</v>
      </c>
      <c r="R13" s="791" t="s">
        <v>306</v>
      </c>
      <c r="S13" s="793"/>
      <c r="T13" s="794">
        <f>P13</f>
        <v>-4335</v>
      </c>
      <c r="U13" s="794">
        <f>Q13</f>
        <v>-5615</v>
      </c>
      <c r="V13" s="791" t="s">
        <v>306</v>
      </c>
    </row>
    <row r="14" spans="2:22" x14ac:dyDescent="0.35">
      <c r="B14" s="506"/>
      <c r="C14" s="506"/>
      <c r="D14" s="789"/>
      <c r="E14" s="789"/>
      <c r="F14" s="789"/>
      <c r="G14" s="837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</row>
    <row r="15" spans="2:22" x14ac:dyDescent="0.35">
      <c r="B15" s="785" t="s">
        <v>205</v>
      </c>
      <c r="C15" s="786"/>
      <c r="D15" s="783">
        <f>+D11+D12</f>
        <v>7817</v>
      </c>
      <c r="E15" s="783">
        <f>+E11+E12</f>
        <v>21775</v>
      </c>
      <c r="F15" s="784">
        <f>(D15-E15)/E15*100</f>
        <v>-64.101033295063147</v>
      </c>
      <c r="G15" s="787"/>
      <c r="H15" s="783">
        <f>+H11+H12</f>
        <v>6474</v>
      </c>
      <c r="I15" s="783">
        <f>+I11+I12</f>
        <v>7412</v>
      </c>
      <c r="J15" s="784">
        <f>(H15-I15)/I15*100</f>
        <v>-12.655153804641122</v>
      </c>
      <c r="K15" s="788"/>
      <c r="L15" s="783">
        <f>+L11+L12</f>
        <v>5887</v>
      </c>
      <c r="M15" s="783">
        <f>+M11+M12</f>
        <v>7597</v>
      </c>
      <c r="N15" s="784">
        <f>(L15-M15)/M15*100</f>
        <v>-22.508885086218243</v>
      </c>
      <c r="O15" s="789"/>
      <c r="P15" s="783">
        <f>+P11+P13</f>
        <v>-5241</v>
      </c>
      <c r="Q15" s="783">
        <f>+Q11+Q13</f>
        <v>-8071</v>
      </c>
      <c r="R15" s="784">
        <f>(P15-Q15)/Q15*100</f>
        <v>-35.063808697806962</v>
      </c>
      <c r="S15" s="789"/>
      <c r="T15" s="783">
        <f>+T11+T12+T13</f>
        <v>14937</v>
      </c>
      <c r="U15" s="783">
        <f>+U11+U12+U13</f>
        <v>28713</v>
      </c>
      <c r="V15" s="784">
        <f>(T15-U15)/U15*100</f>
        <v>-47.978267683627621</v>
      </c>
    </row>
    <row r="16" spans="2:22" x14ac:dyDescent="0.35">
      <c r="B16" s="790" t="s">
        <v>206</v>
      </c>
      <c r="C16" s="790"/>
      <c r="D16" s="791" t="s">
        <v>306</v>
      </c>
      <c r="E16" s="791" t="s">
        <v>306</v>
      </c>
      <c r="F16" s="791" t="s">
        <v>306</v>
      </c>
      <c r="G16" s="791"/>
      <c r="H16" s="791" t="s">
        <v>306</v>
      </c>
      <c r="I16" s="791" t="s">
        <v>306</v>
      </c>
      <c r="J16" s="791" t="s">
        <v>306</v>
      </c>
      <c r="K16" s="792"/>
      <c r="L16" s="791" t="s">
        <v>306</v>
      </c>
      <c r="M16" s="791" t="s">
        <v>306</v>
      </c>
      <c r="N16" s="791" t="s">
        <v>306</v>
      </c>
      <c r="O16" s="793"/>
      <c r="P16" s="794">
        <v>-6088</v>
      </c>
      <c r="Q16" s="794">
        <v>-6088</v>
      </c>
      <c r="R16" s="791">
        <f>(P16-Q16)/Q16*100</f>
        <v>0</v>
      </c>
      <c r="S16" s="791"/>
      <c r="T16" s="794">
        <v>-7952</v>
      </c>
      <c r="U16" s="794">
        <f>Q16</f>
        <v>-6088</v>
      </c>
      <c r="V16" s="791">
        <f>(T16-U16)/U16*100</f>
        <v>30.617608409986858</v>
      </c>
    </row>
    <row r="17" spans="1:27" x14ac:dyDescent="0.35">
      <c r="B17" s="549"/>
      <c r="C17" s="549"/>
      <c r="D17" s="834"/>
      <c r="E17" s="834"/>
      <c r="F17" s="791"/>
      <c r="G17" s="833"/>
      <c r="H17" s="834"/>
      <c r="I17" s="834"/>
      <c r="J17" s="791"/>
      <c r="K17" s="792"/>
      <c r="L17" s="834"/>
      <c r="M17" s="834"/>
      <c r="N17" s="791"/>
      <c r="O17" s="793"/>
      <c r="P17" s="835"/>
      <c r="Q17" s="835"/>
      <c r="R17" s="791"/>
      <c r="S17" s="793"/>
      <c r="T17" s="835"/>
      <c r="U17" s="835"/>
      <c r="V17" s="791"/>
    </row>
    <row r="18" spans="1:27" s="689" customFormat="1" ht="18" x14ac:dyDescent="0.4">
      <c r="A18" s="685"/>
      <c r="B18" s="686" t="s">
        <v>207</v>
      </c>
      <c r="C18" s="687"/>
      <c r="D18" s="838">
        <f>+D15</f>
        <v>7817</v>
      </c>
      <c r="E18" s="839">
        <f>+E15</f>
        <v>21775</v>
      </c>
      <c r="F18" s="840">
        <f>(D18-E18)/E18*100</f>
        <v>-64.101033295063147</v>
      </c>
      <c r="G18" s="841"/>
      <c r="H18" s="838">
        <f>+H15</f>
        <v>6474</v>
      </c>
      <c r="I18" s="839">
        <f>+I15</f>
        <v>7412</v>
      </c>
      <c r="J18" s="840">
        <f>(H18-I18)/I18*100</f>
        <v>-12.655153804641122</v>
      </c>
      <c r="K18" s="842"/>
      <c r="L18" s="838">
        <f>+L15</f>
        <v>5887</v>
      </c>
      <c r="M18" s="839">
        <f>+M15</f>
        <v>7597</v>
      </c>
      <c r="N18" s="840">
        <f>(L18-M18)/M18*100</f>
        <v>-22.508885086218243</v>
      </c>
      <c r="O18" s="843"/>
      <c r="P18" s="838">
        <f>+P15+P16</f>
        <v>-11329</v>
      </c>
      <c r="Q18" s="839">
        <f>+Q15+Q16</f>
        <v>-14159</v>
      </c>
      <c r="R18" s="840">
        <f>(P18-Q18)/Q18*100</f>
        <v>-19.987287237799279</v>
      </c>
      <c r="S18" s="843"/>
      <c r="T18" s="838">
        <f>+T15+T16</f>
        <v>6985</v>
      </c>
      <c r="U18" s="839">
        <f>+U15+U16</f>
        <v>22625</v>
      </c>
      <c r="V18" s="840">
        <f>(T18-U18)/U18*100</f>
        <v>-69.127071823204417</v>
      </c>
    </row>
    <row r="19" spans="1:27" x14ac:dyDescent="0.35">
      <c r="B19" s="548"/>
      <c r="C19" s="548"/>
      <c r="D19" s="844"/>
      <c r="E19" s="844"/>
      <c r="F19" s="845"/>
      <c r="G19" s="787"/>
      <c r="H19" s="844"/>
      <c r="I19" s="844"/>
      <c r="J19" s="845"/>
      <c r="K19" s="788"/>
      <c r="L19" s="844"/>
      <c r="M19" s="844"/>
      <c r="N19" s="845"/>
      <c r="O19" s="793"/>
      <c r="P19" s="846"/>
      <c r="Q19" s="846"/>
      <c r="R19" s="845"/>
      <c r="S19" s="793"/>
      <c r="T19" s="846"/>
      <c r="U19" s="846"/>
      <c r="V19" s="845"/>
    </row>
    <row r="20" spans="1:27" x14ac:dyDescent="0.35">
      <c r="B20" s="555" t="s">
        <v>550</v>
      </c>
      <c r="C20" s="682"/>
      <c r="D20" s="847">
        <f>D11/D9</f>
        <v>8.2157716468103492E-2</v>
      </c>
      <c r="E20" s="847">
        <f>E11/E9</f>
        <v>9.6886131219119848E-2</v>
      </c>
      <c r="F20" s="784">
        <f>(D20-E20)/E20*100</f>
        <v>-15.20177817577032</v>
      </c>
      <c r="G20" s="817"/>
      <c r="H20" s="847">
        <f>H11/H9</f>
        <v>8.7950509333047752E-2</v>
      </c>
      <c r="I20" s="847">
        <f>I11/I9</f>
        <v>7.7579158908574961E-2</v>
      </c>
      <c r="J20" s="784">
        <f>(H20-I20)/I20*100</f>
        <v>13.368732750370704</v>
      </c>
      <c r="K20" s="793"/>
      <c r="L20" s="847">
        <f>L11/L9</f>
        <v>0.16258820257916506</v>
      </c>
      <c r="M20" s="847">
        <f>M11/M9</f>
        <v>0.18617751890811093</v>
      </c>
      <c r="N20" s="784">
        <f>(L20-M20)/M20*100</f>
        <v>-12.670335530998521</v>
      </c>
      <c r="O20" s="793"/>
      <c r="P20" s="847" t="s">
        <v>634</v>
      </c>
      <c r="Q20" s="847" t="s">
        <v>634</v>
      </c>
      <c r="R20" s="784" t="s">
        <v>634</v>
      </c>
      <c r="S20" s="793"/>
      <c r="T20" s="847">
        <f>T11/T9</f>
        <v>9.0639139237915639E-2</v>
      </c>
      <c r="U20" s="847">
        <f>U11/U9</f>
        <v>9.5350668585035783E-2</v>
      </c>
      <c r="V20" s="784">
        <f>(T20-U20)/U20*100</f>
        <v>-4.9412651395499134</v>
      </c>
    </row>
    <row r="21" spans="1:27" s="559" customFormat="1" x14ac:dyDescent="0.35">
      <c r="B21" s="548"/>
      <c r="C21" s="682"/>
      <c r="D21" s="848"/>
      <c r="E21" s="848"/>
      <c r="F21" s="845"/>
      <c r="G21" s="817"/>
      <c r="H21" s="848"/>
      <c r="I21" s="848"/>
      <c r="J21" s="845"/>
      <c r="K21" s="793"/>
      <c r="L21" s="848"/>
      <c r="M21" s="848"/>
      <c r="N21" s="845"/>
      <c r="O21" s="793"/>
      <c r="P21" s="848"/>
      <c r="Q21" s="848"/>
      <c r="R21" s="845"/>
      <c r="S21" s="793"/>
      <c r="T21" s="848"/>
      <c r="U21" s="848"/>
      <c r="V21" s="845"/>
    </row>
    <row r="22" spans="1:27" s="559" customFormat="1" x14ac:dyDescent="0.35">
      <c r="B22" s="548"/>
      <c r="C22" s="682"/>
      <c r="D22" s="848"/>
      <c r="E22" s="848"/>
      <c r="F22" s="845"/>
      <c r="G22" s="817"/>
      <c r="H22" s="848"/>
      <c r="I22" s="848"/>
      <c r="J22" s="845"/>
      <c r="K22" s="793"/>
      <c r="L22" s="848"/>
      <c r="M22" s="848"/>
      <c r="N22" s="845"/>
      <c r="O22" s="793"/>
      <c r="P22" s="848"/>
      <c r="Q22" s="848"/>
      <c r="R22" s="845"/>
      <c r="S22" s="793"/>
      <c r="T22" s="848"/>
      <c r="U22" s="848"/>
      <c r="V22" s="845"/>
    </row>
    <row r="23" spans="1:27" x14ac:dyDescent="0.35">
      <c r="B23" s="554" t="s">
        <v>209</v>
      </c>
      <c r="C23" s="554"/>
      <c r="D23" s="849">
        <v>275383</v>
      </c>
      <c r="E23" s="849">
        <v>289893</v>
      </c>
      <c r="F23" s="791">
        <f>(D23-E23)/E23*100</f>
        <v>-5.0052950571417734</v>
      </c>
      <c r="G23" s="850"/>
      <c r="H23" s="849">
        <v>140404</v>
      </c>
      <c r="I23" s="849">
        <v>146492</v>
      </c>
      <c r="J23" s="791">
        <f>(H23-I23)/I23*100</f>
        <v>-4.155858340387188</v>
      </c>
      <c r="K23" s="850"/>
      <c r="L23" s="849">
        <v>56320</v>
      </c>
      <c r="M23" s="849">
        <v>55773</v>
      </c>
      <c r="N23" s="791">
        <f>(L23-M23)/M23*100</f>
        <v>0.98076130027074038</v>
      </c>
      <c r="O23" s="851"/>
      <c r="P23" s="794">
        <v>118112</v>
      </c>
      <c r="Q23" s="794">
        <v>164257</v>
      </c>
      <c r="R23" s="852">
        <f>(P23-Q23)/Q23*100</f>
        <v>-28.093171067290889</v>
      </c>
      <c r="S23" s="851"/>
      <c r="T23" s="794">
        <f>D23+H23+L23+P23</f>
        <v>590219</v>
      </c>
      <c r="U23" s="794">
        <f>E23+I23+M23+Q23</f>
        <v>656415</v>
      </c>
      <c r="V23" s="852">
        <f>(T23-U23)/U23*100</f>
        <v>-10.084473998918368</v>
      </c>
    </row>
    <row r="24" spans="1:27" x14ac:dyDescent="0.35">
      <c r="B24" s="554" t="s">
        <v>210</v>
      </c>
      <c r="C24" s="554"/>
      <c r="D24" s="849">
        <v>76902</v>
      </c>
      <c r="E24" s="849">
        <v>82372</v>
      </c>
      <c r="F24" s="791">
        <f>(D24-E24)/E24*100</f>
        <v>-6.6406060311756416</v>
      </c>
      <c r="G24" s="853"/>
      <c r="H24" s="849">
        <v>32566</v>
      </c>
      <c r="I24" s="849">
        <v>32949</v>
      </c>
      <c r="J24" s="791">
        <f>(H24-I24)/I24*100</f>
        <v>-1.162402500834623</v>
      </c>
      <c r="K24" s="854"/>
      <c r="L24" s="849">
        <v>9420</v>
      </c>
      <c r="M24" s="849">
        <v>9261</v>
      </c>
      <c r="N24" s="791">
        <f>(L24-M24)/M24*100</f>
        <v>1.7168772270813086</v>
      </c>
      <c r="O24" s="851"/>
      <c r="P24" s="794">
        <v>187116</v>
      </c>
      <c r="Q24" s="794">
        <v>239750</v>
      </c>
      <c r="R24" s="852">
        <f>(P24-Q24)/Q24*100</f>
        <v>-21.953701772679874</v>
      </c>
      <c r="S24" s="851"/>
      <c r="T24" s="794">
        <f t="shared" ref="T24:U24" si="0">D24+H24+L24+P24</f>
        <v>306004</v>
      </c>
      <c r="U24" s="794">
        <f t="shared" si="0"/>
        <v>364332</v>
      </c>
      <c r="V24" s="852">
        <f>(T24-U24)/U24*100</f>
        <v>-16.009573685539564</v>
      </c>
    </row>
    <row r="25" spans="1:27" x14ac:dyDescent="0.35">
      <c r="B25" s="700" t="s">
        <v>211</v>
      </c>
      <c r="C25" s="700"/>
      <c r="D25" s="855">
        <v>26583</v>
      </c>
      <c r="E25" s="855">
        <v>25255</v>
      </c>
      <c r="F25" s="856">
        <f>(D25-E25)/E25*100</f>
        <v>5.2583646802613337</v>
      </c>
      <c r="G25" s="857"/>
      <c r="H25" s="855">
        <v>1651</v>
      </c>
      <c r="I25" s="855">
        <v>2835</v>
      </c>
      <c r="J25" s="856">
        <f>(H25-I25)/I25*100</f>
        <v>-41.763668430335102</v>
      </c>
      <c r="K25" s="858"/>
      <c r="L25" s="855">
        <v>3036</v>
      </c>
      <c r="M25" s="855">
        <v>5487</v>
      </c>
      <c r="N25" s="856">
        <f>(L25-M25)/M25*100</f>
        <v>-44.669218151995629</v>
      </c>
      <c r="O25" s="859"/>
      <c r="P25" s="855" t="s">
        <v>306</v>
      </c>
      <c r="Q25" s="855" t="s">
        <v>306</v>
      </c>
      <c r="R25" s="855" t="s">
        <v>306</v>
      </c>
      <c r="S25" s="859"/>
      <c r="T25" s="855">
        <f>D25+H25+L25</f>
        <v>31270</v>
      </c>
      <c r="U25" s="855">
        <f>E25+I25+M25</f>
        <v>33577</v>
      </c>
      <c r="V25" s="860">
        <f>(T25-U25)/U25*100</f>
        <v>-6.8707746374006025</v>
      </c>
    </row>
    <row r="26" spans="1:27" x14ac:dyDescent="0.35">
      <c r="B26" s="547"/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682"/>
      <c r="T26" s="682"/>
      <c r="U26" s="682"/>
      <c r="V26" s="682"/>
    </row>
    <row r="27" spans="1:27" x14ac:dyDescent="0.35">
      <c r="B27" s="559"/>
      <c r="C27" s="559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559"/>
      <c r="V27" s="559"/>
    </row>
    <row r="28" spans="1:27" x14ac:dyDescent="0.35">
      <c r="B28" s="559"/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</row>
    <row r="29" spans="1:27" x14ac:dyDescent="0.35"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</row>
    <row r="30" spans="1:27" x14ac:dyDescent="0.35">
      <c r="B30" s="559"/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</row>
    <row r="31" spans="1:27" x14ac:dyDescent="0.35">
      <c r="B31" s="559"/>
      <c r="C31" s="559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</row>
    <row r="32" spans="1:27" x14ac:dyDescent="0.35">
      <c r="B32" s="559"/>
      <c r="C32" s="559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</row>
    <row r="33" spans="2:27" x14ac:dyDescent="0.35">
      <c r="B33" s="559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559"/>
      <c r="S33" s="559"/>
      <c r="T33" s="559"/>
      <c r="U33" s="559"/>
      <c r="V33" s="559"/>
      <c r="W33" s="559"/>
      <c r="X33" s="559"/>
      <c r="Y33" s="559"/>
      <c r="Z33" s="559"/>
      <c r="AA33" s="559"/>
    </row>
    <row r="34" spans="2:27" x14ac:dyDescent="0.35">
      <c r="B34" s="559"/>
      <c r="C34" s="559"/>
      <c r="D34" s="559"/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559"/>
      <c r="X34" s="559"/>
      <c r="Y34" s="559"/>
      <c r="Z34" s="559"/>
      <c r="AA34" s="559"/>
    </row>
    <row r="35" spans="2:27" x14ac:dyDescent="0.35">
      <c r="B35" s="559"/>
      <c r="C35" s="559"/>
      <c r="D35" s="559"/>
      <c r="E35" s="559"/>
      <c r="F35" s="559"/>
      <c r="G35" s="559"/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59"/>
      <c r="Z35" s="559"/>
      <c r="AA35" s="559"/>
    </row>
    <row r="36" spans="2:27" x14ac:dyDescent="0.35">
      <c r="B36" s="559"/>
      <c r="C36" s="559"/>
      <c r="D36" s="559"/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59"/>
      <c r="Z36" s="559"/>
      <c r="AA36" s="559"/>
    </row>
    <row r="37" spans="2:27" x14ac:dyDescent="0.35"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</row>
    <row r="38" spans="2:27" x14ac:dyDescent="0.35">
      <c r="B38" s="559"/>
      <c r="C38" s="559"/>
      <c r="D38" s="559"/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59"/>
      <c r="Z38" s="559"/>
      <c r="AA38" s="559"/>
    </row>
    <row r="39" spans="2:27" x14ac:dyDescent="0.35">
      <c r="B39" s="559"/>
      <c r="C39" s="559"/>
      <c r="D39" s="559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</row>
    <row r="40" spans="2:27" x14ac:dyDescent="0.35">
      <c r="B40" s="559"/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</row>
    <row r="41" spans="2:27" x14ac:dyDescent="0.35">
      <c r="B41" s="559"/>
      <c r="C41" s="559"/>
      <c r="D41" s="559"/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59"/>
      <c r="Z41" s="559"/>
      <c r="AA41" s="559"/>
    </row>
    <row r="42" spans="2:27" x14ac:dyDescent="0.35">
      <c r="B42" s="559"/>
      <c r="C42" s="559"/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</row>
    <row r="43" spans="2:27" x14ac:dyDescent="0.35">
      <c r="B43" s="559"/>
      <c r="C43" s="559"/>
      <c r="D43" s="559"/>
      <c r="E43" s="559"/>
      <c r="F43" s="559"/>
      <c r="G43" s="559"/>
      <c r="H43" s="559"/>
      <c r="I43" s="559"/>
      <c r="J43" s="559"/>
      <c r="K43" s="559"/>
      <c r="L43" s="559"/>
      <c r="M43" s="559"/>
      <c r="N43" s="559"/>
      <c r="O43" s="559"/>
      <c r="P43" s="559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</row>
    <row r="44" spans="2:27" x14ac:dyDescent="0.35">
      <c r="B44" s="559"/>
      <c r="C44" s="559"/>
      <c r="D44" s="559"/>
      <c r="E44" s="559"/>
      <c r="F44" s="559"/>
      <c r="G44" s="559"/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59"/>
      <c r="Z44" s="559"/>
      <c r="AA44" s="559"/>
    </row>
    <row r="45" spans="2:27" x14ac:dyDescent="0.35">
      <c r="B45" s="559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</row>
    <row r="46" spans="2:27" x14ac:dyDescent="0.35">
      <c r="B46" s="559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</row>
    <row r="47" spans="2:27" x14ac:dyDescent="0.35"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</row>
    <row r="48" spans="2:27" x14ac:dyDescent="0.35">
      <c r="B48" s="559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</row>
    <row r="49" spans="2:27" x14ac:dyDescent="0.35">
      <c r="B49" s="559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</row>
    <row r="50" spans="2:27" x14ac:dyDescent="0.35">
      <c r="B50" s="559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</row>
    <row r="51" spans="2:27" x14ac:dyDescent="0.35">
      <c r="B51" s="559"/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59"/>
      <c r="Z51" s="559"/>
      <c r="AA51" s="559"/>
    </row>
    <row r="52" spans="2:27" x14ac:dyDescent="0.35"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59"/>
      <c r="AA52" s="559"/>
    </row>
    <row r="53" spans="2:27" x14ac:dyDescent="0.35"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  <c r="X53" s="559"/>
      <c r="Y53" s="559"/>
      <c r="Z53" s="559"/>
      <c r="AA53" s="559"/>
    </row>
    <row r="54" spans="2:27" x14ac:dyDescent="0.35">
      <c r="B54" s="559"/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59"/>
      <c r="Z54" s="559"/>
      <c r="AA54" s="559"/>
    </row>
    <row r="55" spans="2:27" x14ac:dyDescent="0.35"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  <c r="AA55" s="559"/>
    </row>
    <row r="56" spans="2:27" x14ac:dyDescent="0.35">
      <c r="B56" s="559"/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</row>
    <row r="57" spans="2:27" x14ac:dyDescent="0.35">
      <c r="B57" s="559"/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</row>
    <row r="58" spans="2:27" x14ac:dyDescent="0.35">
      <c r="B58" s="559"/>
      <c r="C58" s="559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59"/>
      <c r="W58" s="559"/>
      <c r="X58" s="559"/>
      <c r="Y58" s="559"/>
      <c r="Z58" s="559"/>
      <c r="AA58" s="559"/>
    </row>
    <row r="59" spans="2:27" x14ac:dyDescent="0.35">
      <c r="B59" s="559"/>
      <c r="C59" s="559"/>
      <c r="D59" s="559"/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59"/>
      <c r="V59" s="559"/>
      <c r="W59" s="559"/>
      <c r="X59" s="559"/>
      <c r="Y59" s="559"/>
      <c r="Z59" s="559"/>
      <c r="AA59" s="559"/>
    </row>
    <row r="60" spans="2:27" x14ac:dyDescent="0.35">
      <c r="B60" s="559"/>
      <c r="C60" s="559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  <c r="X60" s="559"/>
      <c r="Y60" s="559"/>
      <c r="Z60" s="559"/>
      <c r="AA60" s="559"/>
    </row>
    <row r="61" spans="2:27" x14ac:dyDescent="0.35">
      <c r="B61" s="559"/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  <c r="X61" s="559"/>
      <c r="Y61" s="559"/>
      <c r="Z61" s="559"/>
      <c r="AA61" s="559"/>
    </row>
    <row r="62" spans="2:27" x14ac:dyDescent="0.35">
      <c r="B62" s="559"/>
      <c r="C62" s="559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59"/>
      <c r="AA62" s="559"/>
    </row>
    <row r="63" spans="2:27" x14ac:dyDescent="0.35">
      <c r="B63" s="559"/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  <c r="X63" s="559"/>
      <c r="Y63" s="559"/>
      <c r="Z63" s="559"/>
      <c r="AA63" s="559"/>
    </row>
    <row r="64" spans="2:27" x14ac:dyDescent="0.35">
      <c r="B64" s="559"/>
      <c r="C64" s="559"/>
      <c r="D64" s="559"/>
      <c r="E64" s="559"/>
      <c r="F64" s="559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Q64" s="559"/>
      <c r="R64" s="559"/>
      <c r="S64" s="559"/>
      <c r="T64" s="559"/>
      <c r="U64" s="559"/>
      <c r="V64" s="559"/>
      <c r="W64" s="559"/>
      <c r="X64" s="559"/>
      <c r="Y64" s="559"/>
      <c r="Z64" s="559"/>
      <c r="AA64" s="559"/>
    </row>
    <row r="65" spans="2:27" x14ac:dyDescent="0.35"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  <pageSetUpPr fitToPage="1"/>
  </sheetPr>
  <dimension ref="B2:AA172"/>
  <sheetViews>
    <sheetView zoomScale="70" zoomScaleNormal="70" workbookViewId="0">
      <selection activeCell="T8" sqref="T8:T16"/>
    </sheetView>
  </sheetViews>
  <sheetFormatPr baseColWidth="10" defaultColWidth="11" defaultRowHeight="15.5" x14ac:dyDescent="0.35"/>
  <cols>
    <col min="1" max="1" width="11" style="510"/>
    <col min="2" max="2" width="21.75" style="510" customWidth="1"/>
    <col min="3" max="3" width="0.83203125" style="510" customWidth="1"/>
    <col min="4" max="7" width="10.58203125" style="510" customWidth="1"/>
    <col min="8" max="8" width="2.58203125" style="510" customWidth="1"/>
    <col min="9" max="12" width="10.58203125" style="510" customWidth="1"/>
    <col min="13" max="13" width="2.58203125" style="510" customWidth="1"/>
    <col min="14" max="17" width="10.58203125" style="510" customWidth="1"/>
    <col min="18" max="19" width="2.58203125" style="510" customWidth="1"/>
    <col min="20" max="23" width="10.58203125" style="510" customWidth="1"/>
    <col min="24" max="24" width="8" style="510" customWidth="1"/>
    <col min="25" max="25" width="8.25" style="510" customWidth="1"/>
    <col min="26" max="26" width="8.33203125" style="510" customWidth="1"/>
    <col min="27" max="27" width="8.25" style="510" customWidth="1"/>
    <col min="28" max="16384" width="11" style="510"/>
  </cols>
  <sheetData>
    <row r="2" spans="2:26" ht="28.5" customHeight="1" x14ac:dyDescent="0.35">
      <c r="D2" s="923" t="s">
        <v>551</v>
      </c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1"/>
      <c r="T2" s="921"/>
      <c r="U2" s="921"/>
      <c r="V2" s="921"/>
      <c r="W2" s="921"/>
    </row>
    <row r="3" spans="2:26" x14ac:dyDescent="0.35"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</row>
    <row r="4" spans="2:26" ht="33" customHeight="1" x14ac:dyDescent="0.35">
      <c r="B4" s="694" t="s">
        <v>300</v>
      </c>
      <c r="D4" s="920" t="s">
        <v>213</v>
      </c>
      <c r="E4" s="920"/>
      <c r="F4" s="920"/>
      <c r="G4" s="920"/>
      <c r="H4" s="512"/>
      <c r="I4" s="920" t="s">
        <v>202</v>
      </c>
      <c r="J4" s="920"/>
      <c r="K4" s="920"/>
      <c r="L4" s="920"/>
      <c r="M4" s="512"/>
      <c r="N4" s="920" t="s">
        <v>203</v>
      </c>
      <c r="O4" s="920"/>
      <c r="P4" s="920"/>
      <c r="Q4" s="920"/>
      <c r="R4" s="512"/>
      <c r="S4" s="738"/>
      <c r="T4" s="920" t="s">
        <v>547</v>
      </c>
      <c r="U4" s="920"/>
      <c r="V4" s="920"/>
      <c r="W4" s="920"/>
    </row>
    <row r="5" spans="2:26" ht="12.75" customHeight="1" x14ac:dyDescent="0.35">
      <c r="D5" s="516"/>
      <c r="E5" s="516"/>
      <c r="F5" s="516"/>
      <c r="G5" s="516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738"/>
      <c r="T5" s="738"/>
      <c r="U5" s="738"/>
      <c r="V5" s="738"/>
      <c r="W5" s="738"/>
    </row>
    <row r="6" spans="2:26" ht="32.25" customHeight="1" x14ac:dyDescent="0.35">
      <c r="D6" s="523" t="s">
        <v>647</v>
      </c>
      <c r="E6" s="523" t="s">
        <v>561</v>
      </c>
      <c r="F6" s="523" t="s">
        <v>631</v>
      </c>
      <c r="G6" s="523" t="s">
        <v>301</v>
      </c>
      <c r="H6" s="507"/>
      <c r="I6" s="523" t="s">
        <v>647</v>
      </c>
      <c r="J6" s="523" t="s">
        <v>561</v>
      </c>
      <c r="K6" s="523" t="s">
        <v>631</v>
      </c>
      <c r="L6" s="523" t="s">
        <v>301</v>
      </c>
      <c r="M6" s="507"/>
      <c r="N6" s="523" t="s">
        <v>647</v>
      </c>
      <c r="O6" s="523" t="s">
        <v>561</v>
      </c>
      <c r="P6" s="523" t="s">
        <v>631</v>
      </c>
      <c r="Q6" s="523" t="s">
        <v>301</v>
      </c>
      <c r="R6" s="507"/>
      <c r="S6" s="507"/>
      <c r="T6" s="523" t="s">
        <v>647</v>
      </c>
      <c r="U6" s="523" t="s">
        <v>561</v>
      </c>
      <c r="V6" s="523" t="s">
        <v>631</v>
      </c>
      <c r="W6" s="523" t="s">
        <v>301</v>
      </c>
    </row>
    <row r="7" spans="2:26" ht="9" customHeight="1" x14ac:dyDescent="0.35">
      <c r="D7" s="507"/>
      <c r="E7" s="507"/>
      <c r="F7" s="507"/>
      <c r="G7" s="507"/>
      <c r="H7" s="507"/>
      <c r="I7" s="795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</row>
    <row r="8" spans="2:26" s="506" customFormat="1" ht="15" x14ac:dyDescent="0.3">
      <c r="B8" s="705" t="s">
        <v>124</v>
      </c>
      <c r="D8" s="864">
        <v>207723</v>
      </c>
      <c r="E8" s="706">
        <f>D8/D$16</f>
        <v>0.62763398819199789</v>
      </c>
      <c r="F8" s="616">
        <v>258470</v>
      </c>
      <c r="G8" s="706">
        <f>(D8-F8)/F8</f>
        <v>-0.19633613185282625</v>
      </c>
      <c r="H8" s="505"/>
      <c r="I8" s="864">
        <v>50570</v>
      </c>
      <c r="J8" s="706">
        <f>I8/I$16</f>
        <v>0.31857726931969232</v>
      </c>
      <c r="K8" s="616">
        <v>66865</v>
      </c>
      <c r="L8" s="706">
        <f>(I8-K8)/K8</f>
        <v>-0.24369999252224631</v>
      </c>
      <c r="M8" s="505"/>
      <c r="N8" s="864">
        <v>4204</v>
      </c>
      <c r="O8" s="706">
        <f>N8/N$16</f>
        <v>7.306602707822793E-2</v>
      </c>
      <c r="P8" s="616">
        <v>4579</v>
      </c>
      <c r="Q8" s="706">
        <f>(N8-P8)/P8</f>
        <v>-8.1895610395282814E-2</v>
      </c>
      <c r="R8" s="505"/>
      <c r="S8" s="505"/>
      <c r="T8" s="864">
        <f>D8+I8+N8</f>
        <v>262497</v>
      </c>
      <c r="U8" s="706">
        <f>T8/T$16</f>
        <v>0.47967787206981999</v>
      </c>
      <c r="V8" s="616">
        <f>F8+K8+P8</f>
        <v>329914</v>
      </c>
      <c r="W8" s="706">
        <f>(T8-V8)/V8</f>
        <v>-0.2043471935110362</v>
      </c>
      <c r="Z8" s="502"/>
    </row>
    <row r="9" spans="2:26" x14ac:dyDescent="0.35">
      <c r="D9" s="816"/>
      <c r="E9" s="517"/>
      <c r="F9" s="499"/>
      <c r="G9" s="517"/>
      <c r="H9" s="500"/>
      <c r="I9" s="816"/>
      <c r="J9" s="517"/>
      <c r="K9" s="499"/>
      <c r="L9" s="517"/>
      <c r="M9" s="500"/>
      <c r="N9" s="816"/>
      <c r="O9" s="517"/>
      <c r="P9" s="499"/>
      <c r="Q9" s="517"/>
      <c r="R9" s="500"/>
      <c r="S9" s="500"/>
      <c r="T9" s="816"/>
      <c r="U9" s="517"/>
      <c r="V9" s="499"/>
      <c r="W9" s="517"/>
    </row>
    <row r="10" spans="2:26" s="506" customFormat="1" ht="15" x14ac:dyDescent="0.3">
      <c r="B10" s="705" t="s">
        <v>196</v>
      </c>
      <c r="D10" s="864">
        <f>D12+D13+D14</f>
        <v>123239</v>
      </c>
      <c r="E10" s="706">
        <f>D10/D$16</f>
        <v>0.37236601180800211</v>
      </c>
      <c r="F10" s="616">
        <f>F12+F13+F14</f>
        <v>133165</v>
      </c>
      <c r="G10" s="706">
        <f>(D10-F10)/F10</f>
        <v>-7.4539105620846313E-2</v>
      </c>
      <c r="H10" s="505"/>
      <c r="I10" s="864">
        <f>I12+I13+I14</f>
        <v>108167</v>
      </c>
      <c r="J10" s="706">
        <f>I10/I$16</f>
        <v>0.68142273068030768</v>
      </c>
      <c r="K10" s="616">
        <f>K12+K13+K14</f>
        <v>122722</v>
      </c>
      <c r="L10" s="706">
        <f>(I10-K10)/K10</f>
        <v>-0.11860139176349799</v>
      </c>
      <c r="M10" s="505"/>
      <c r="N10" s="864">
        <f>N12+N13+N14</f>
        <v>53333</v>
      </c>
      <c r="O10" s="706">
        <f>N10/N$16</f>
        <v>0.92693397292177204</v>
      </c>
      <c r="P10" s="616">
        <f>P12+P13+P14</f>
        <v>52936</v>
      </c>
      <c r="Q10" s="706">
        <f>(N10-P10)/P10</f>
        <v>7.4996221852803389E-3</v>
      </c>
      <c r="R10" s="505"/>
      <c r="S10" s="505"/>
      <c r="T10" s="864">
        <f>D10+I10+N10</f>
        <v>284739</v>
      </c>
      <c r="U10" s="706">
        <f>T10/T$16</f>
        <v>0.52032212793018007</v>
      </c>
      <c r="V10" s="616">
        <f>F10+K10+P10</f>
        <v>308823</v>
      </c>
      <c r="W10" s="706">
        <f>(T10-V10)/V10</f>
        <v>-7.7986419405290414E-2</v>
      </c>
    </row>
    <row r="11" spans="2:26" ht="8.25" customHeight="1" x14ac:dyDescent="0.35">
      <c r="D11" s="816"/>
      <c r="E11" s="517"/>
      <c r="F11" s="499"/>
      <c r="G11" s="517"/>
      <c r="H11" s="500"/>
      <c r="I11" s="816"/>
      <c r="J11" s="517"/>
      <c r="K11" s="499"/>
      <c r="L11" s="517"/>
      <c r="M11" s="500"/>
      <c r="N11" s="816"/>
      <c r="O11" s="517"/>
      <c r="P11" s="499"/>
      <c r="Q11" s="517"/>
      <c r="R11" s="500"/>
      <c r="S11" s="500"/>
      <c r="T11" s="816"/>
      <c r="U11" s="517"/>
      <c r="V11" s="499"/>
      <c r="W11" s="517"/>
    </row>
    <row r="12" spans="2:26" x14ac:dyDescent="0.35">
      <c r="B12" s="519" t="s">
        <v>575</v>
      </c>
      <c r="D12" s="816">
        <v>87567</v>
      </c>
      <c r="E12" s="517">
        <f>D12/D$16</f>
        <v>0.26458324520639831</v>
      </c>
      <c r="F12" s="499">
        <v>103342</v>
      </c>
      <c r="G12" s="517">
        <f>(D12-F12)/F12</f>
        <v>-0.1526484875462058</v>
      </c>
      <c r="H12" s="500"/>
      <c r="I12" s="816">
        <v>58088</v>
      </c>
      <c r="J12" s="517">
        <f>I12/I$16</f>
        <v>0.36593862804513128</v>
      </c>
      <c r="K12" s="499">
        <v>62858</v>
      </c>
      <c r="L12" s="517">
        <f>(I12-K12)/K12</f>
        <v>-7.5885328836424959E-2</v>
      </c>
      <c r="M12" s="500"/>
      <c r="N12" s="816">
        <v>17294</v>
      </c>
      <c r="O12" s="517">
        <f>N12/N$16</f>
        <v>0.30057180596833344</v>
      </c>
      <c r="P12" s="499">
        <v>15622</v>
      </c>
      <c r="Q12" s="517">
        <f>(N12-P12)/P12</f>
        <v>0.10702854948150045</v>
      </c>
      <c r="R12" s="500"/>
      <c r="S12" s="500"/>
      <c r="T12" s="816">
        <f>D12+I12+N12</f>
        <v>162949</v>
      </c>
      <c r="U12" s="517">
        <f>T12/T$16</f>
        <v>0.29776732524906985</v>
      </c>
      <c r="V12" s="499">
        <f>F12+K12+P12</f>
        <v>181822</v>
      </c>
      <c r="W12" s="517">
        <f>(T12-V12)/V12</f>
        <v>-0.1037993202142755</v>
      </c>
      <c r="Z12" s="502"/>
    </row>
    <row r="13" spans="2:26" x14ac:dyDescent="0.35">
      <c r="B13" s="519" t="s">
        <v>576</v>
      </c>
      <c r="D13" s="816">
        <v>28688</v>
      </c>
      <c r="E13" s="517">
        <f>D13/D$16</f>
        <v>8.6680646116472582E-2</v>
      </c>
      <c r="F13" s="499">
        <v>22798</v>
      </c>
      <c r="G13" s="517">
        <f>(D13-F13)/F13</f>
        <v>0.25835599614001226</v>
      </c>
      <c r="H13" s="500"/>
      <c r="I13" s="816">
        <v>17517</v>
      </c>
      <c r="J13" s="517">
        <f>I13/I$16</f>
        <v>0.11035234381398162</v>
      </c>
      <c r="K13" s="499">
        <v>18219</v>
      </c>
      <c r="L13" s="517">
        <f>(I13-K13)/K13</f>
        <v>-3.8531203688457104E-2</v>
      </c>
      <c r="M13" s="500"/>
      <c r="N13" s="816">
        <v>15957</v>
      </c>
      <c r="O13" s="517">
        <f>N13/N$16</f>
        <v>0.27733458470201783</v>
      </c>
      <c r="P13" s="499">
        <v>16386</v>
      </c>
      <c r="Q13" s="517">
        <f>(N13-P13)/P13</f>
        <v>-2.6180886122299525E-2</v>
      </c>
      <c r="R13" s="500"/>
      <c r="S13" s="500"/>
      <c r="T13" s="816">
        <f>D13+I13+N13</f>
        <v>62162</v>
      </c>
      <c r="U13" s="517">
        <f>T13/T$16</f>
        <v>0.11359267299665958</v>
      </c>
      <c r="V13" s="499">
        <f>F13+K13+P13</f>
        <v>57403</v>
      </c>
      <c r="W13" s="517">
        <f>(T13-V13)/V13</f>
        <v>8.2905074647666499E-2</v>
      </c>
      <c r="Z13" s="502"/>
    </row>
    <row r="14" spans="2:26" x14ac:dyDescent="0.35">
      <c r="B14" s="519" t="s">
        <v>577</v>
      </c>
      <c r="D14" s="816">
        <v>6984</v>
      </c>
      <c r="E14" s="517">
        <f>D14/D$16</f>
        <v>2.1102120485131222E-2</v>
      </c>
      <c r="F14" s="499">
        <v>7025</v>
      </c>
      <c r="G14" s="517">
        <f>(D14-F14)/F14</f>
        <v>-5.8362989323843418E-3</v>
      </c>
      <c r="H14" s="500"/>
      <c r="I14" s="816">
        <v>32562</v>
      </c>
      <c r="J14" s="517">
        <f>I14/I$16</f>
        <v>0.2051317588211948</v>
      </c>
      <c r="K14" s="499">
        <v>41645</v>
      </c>
      <c r="L14" s="517">
        <f>(I14-K14)/K14</f>
        <v>-0.21810541481570417</v>
      </c>
      <c r="M14" s="500"/>
      <c r="N14" s="816">
        <v>20082</v>
      </c>
      <c r="O14" s="517">
        <f>N14/N$16</f>
        <v>0.34902758225142083</v>
      </c>
      <c r="P14" s="499">
        <v>20928</v>
      </c>
      <c r="Q14" s="517">
        <f>(N14-P14)/P14</f>
        <v>-4.0424311926605505E-2</v>
      </c>
      <c r="R14" s="500"/>
      <c r="S14" s="500"/>
      <c r="T14" s="816">
        <f>D14+I14+N14</f>
        <v>59628</v>
      </c>
      <c r="U14" s="517">
        <f>T14/T$16</f>
        <v>0.10896212968445058</v>
      </c>
      <c r="V14" s="499">
        <f>F14+K14+P14</f>
        <v>69598</v>
      </c>
      <c r="W14" s="517">
        <f>(T14-V14)/V14</f>
        <v>-0.1432512428518061</v>
      </c>
      <c r="Z14" s="502"/>
    </row>
    <row r="15" spans="2:26" ht="6.75" customHeight="1" x14ac:dyDescent="0.35">
      <c r="D15" s="816"/>
      <c r="E15" s="517"/>
      <c r="F15" s="499"/>
      <c r="G15" s="500"/>
      <c r="H15" s="500"/>
      <c r="I15" s="816"/>
      <c r="J15" s="500"/>
      <c r="K15" s="499"/>
      <c r="L15" s="500"/>
      <c r="M15" s="500"/>
      <c r="N15" s="816"/>
      <c r="O15" s="500"/>
      <c r="P15" s="499"/>
      <c r="Q15" s="500"/>
      <c r="R15" s="500"/>
      <c r="S15" s="500"/>
      <c r="T15" s="816"/>
      <c r="U15" s="500"/>
      <c r="V15" s="499"/>
      <c r="W15" s="500"/>
    </row>
    <row r="16" spans="2:26" s="522" customFormat="1" ht="18" x14ac:dyDescent="0.4">
      <c r="B16" s="520" t="s">
        <v>549</v>
      </c>
      <c r="D16" s="865">
        <f>D10+D8</f>
        <v>330962</v>
      </c>
      <c r="E16" s="525">
        <f>D16/D$16</f>
        <v>1</v>
      </c>
      <c r="F16" s="524">
        <f>F10+F8</f>
        <v>391635</v>
      </c>
      <c r="G16" s="525">
        <f>(D16-F16)/F16</f>
        <v>-0.15492231286784888</v>
      </c>
      <c r="H16" s="521"/>
      <c r="I16" s="865">
        <f>I10+I8</f>
        <v>158737</v>
      </c>
      <c r="J16" s="525">
        <f>I16/I$16</f>
        <v>1</v>
      </c>
      <c r="K16" s="524">
        <f>K10+K8</f>
        <v>189587</v>
      </c>
      <c r="L16" s="525">
        <f>(I16-K16)/K16</f>
        <v>-0.16272212757203816</v>
      </c>
      <c r="M16" s="521"/>
      <c r="N16" s="865">
        <f>N10+N8</f>
        <v>57537</v>
      </c>
      <c r="O16" s="525">
        <f>N16/N$16</f>
        <v>1</v>
      </c>
      <c r="P16" s="524">
        <f>P10+P8</f>
        <v>57515</v>
      </c>
      <c r="Q16" s="525">
        <f>(N16-P16)/P16</f>
        <v>3.825089107189429E-4</v>
      </c>
      <c r="R16" s="521"/>
      <c r="S16" s="521"/>
      <c r="T16" s="865">
        <f>D16+I16+N16</f>
        <v>547236</v>
      </c>
      <c r="U16" s="525">
        <f>T16/T$16</f>
        <v>1</v>
      </c>
      <c r="V16" s="524">
        <f>F16+K16+P16</f>
        <v>638737</v>
      </c>
      <c r="W16" s="525">
        <f>(T16-V16)/V16</f>
        <v>-0.14325301336856955</v>
      </c>
    </row>
    <row r="17" spans="3:27" s="506" customFormat="1" x14ac:dyDescent="0.35"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</row>
    <row r="18" spans="3:27" s="506" customFormat="1" x14ac:dyDescent="0.35">
      <c r="C18" s="510"/>
      <c r="D18" s="922"/>
      <c r="E18" s="922"/>
      <c r="F18" s="922"/>
      <c r="G18" s="922"/>
      <c r="H18" s="922"/>
      <c r="I18" s="922"/>
      <c r="J18" s="922"/>
      <c r="K18" s="922"/>
      <c r="L18" s="922"/>
      <c r="M18" s="922"/>
      <c r="N18" s="922"/>
      <c r="O18" s="922"/>
      <c r="P18" s="922"/>
      <c r="Q18" s="922"/>
      <c r="R18" s="922"/>
      <c r="S18" s="501"/>
      <c r="T18" s="502"/>
      <c r="U18" s="503"/>
      <c r="V18" s="502"/>
      <c r="W18" s="503"/>
      <c r="X18" s="502"/>
      <c r="Y18" s="503"/>
      <c r="Z18" s="504"/>
      <c r="AA18" s="503"/>
    </row>
    <row r="19" spans="3:27" s="506" customFormat="1" x14ac:dyDescent="0.35">
      <c r="C19" s="510"/>
      <c r="D19" s="922"/>
      <c r="E19" s="922"/>
      <c r="F19" s="512"/>
      <c r="G19" s="512"/>
      <c r="H19" s="512"/>
      <c r="I19" s="922"/>
      <c r="J19" s="922"/>
      <c r="K19" s="512"/>
      <c r="L19" s="512"/>
      <c r="M19" s="512"/>
      <c r="N19" s="922"/>
      <c r="O19" s="922"/>
      <c r="P19" s="512"/>
      <c r="Q19" s="512"/>
      <c r="R19" s="512"/>
      <c r="S19" s="738"/>
      <c r="T19" s="922"/>
      <c r="U19" s="922"/>
      <c r="V19" s="738"/>
      <c r="W19" s="738"/>
      <c r="X19" s="502"/>
      <c r="Y19" s="503"/>
      <c r="Z19" s="504"/>
      <c r="AA19" s="503"/>
    </row>
    <row r="20" spans="3:27" s="506" customFormat="1" x14ac:dyDescent="0.35">
      <c r="C20" s="510"/>
      <c r="E20" s="500"/>
      <c r="F20" s="500"/>
      <c r="G20" s="500"/>
      <c r="H20" s="500"/>
      <c r="J20" s="500"/>
      <c r="K20" s="500"/>
      <c r="L20" s="500"/>
      <c r="M20" s="500"/>
      <c r="O20" s="500"/>
      <c r="P20" s="500"/>
      <c r="Q20" s="500"/>
      <c r="R20" s="500"/>
      <c r="S20" s="500"/>
      <c r="U20" s="500"/>
      <c r="V20" s="500"/>
      <c r="W20" s="500"/>
      <c r="X20" s="502"/>
      <c r="Y20" s="503"/>
      <c r="Z20" s="504"/>
      <c r="AA20" s="503"/>
    </row>
    <row r="21" spans="3:27" s="506" customFormat="1" x14ac:dyDescent="0.35">
      <c r="C21" s="510"/>
      <c r="E21" s="500"/>
      <c r="F21" s="500"/>
      <c r="G21" s="500"/>
      <c r="H21" s="500"/>
      <c r="J21" s="500"/>
      <c r="K21" s="500"/>
      <c r="L21" s="500"/>
      <c r="M21" s="500"/>
      <c r="O21" s="500"/>
      <c r="P21" s="500"/>
      <c r="Q21" s="500"/>
      <c r="R21" s="500"/>
      <c r="S21" s="500"/>
      <c r="U21" s="500"/>
      <c r="V21" s="500"/>
      <c r="W21" s="518"/>
      <c r="X21" s="502"/>
      <c r="Y21" s="503"/>
      <c r="Z21" s="504"/>
      <c r="AA21" s="503"/>
    </row>
    <row r="22" spans="3:27" s="506" customFormat="1" x14ac:dyDescent="0.35">
      <c r="C22" s="510"/>
      <c r="E22" s="500"/>
      <c r="F22" s="500"/>
      <c r="G22" s="500"/>
      <c r="H22" s="500"/>
      <c r="J22" s="500"/>
      <c r="K22" s="500"/>
      <c r="L22" s="500"/>
      <c r="M22" s="500"/>
      <c r="O22" s="500"/>
      <c r="P22" s="500"/>
      <c r="Q22" s="500"/>
      <c r="R22" s="500"/>
      <c r="S22" s="500"/>
      <c r="U22" s="500"/>
      <c r="V22" s="500"/>
      <c r="W22" s="500"/>
      <c r="X22" s="502"/>
      <c r="Y22" s="503"/>
      <c r="Z22" s="504"/>
      <c r="AA22" s="503"/>
    </row>
    <row r="23" spans="3:27" s="506" customFormat="1" x14ac:dyDescent="0.35">
      <c r="C23" s="510"/>
      <c r="E23" s="500"/>
      <c r="F23" s="500"/>
      <c r="G23" s="500"/>
      <c r="H23" s="500"/>
      <c r="J23" s="500"/>
      <c r="K23" s="500"/>
      <c r="L23" s="500"/>
      <c r="M23" s="500"/>
      <c r="O23" s="500"/>
      <c r="P23" s="500"/>
      <c r="Q23" s="500"/>
      <c r="R23" s="500"/>
      <c r="S23" s="500"/>
      <c r="U23" s="500"/>
      <c r="V23" s="500"/>
      <c r="W23" s="500"/>
      <c r="X23" s="502"/>
      <c r="Y23" s="503"/>
      <c r="Z23" s="504"/>
      <c r="AA23" s="503"/>
    </row>
    <row r="24" spans="3:27" s="506" customFormat="1" x14ac:dyDescent="0.35">
      <c r="E24" s="500"/>
      <c r="F24" s="500"/>
      <c r="G24" s="505"/>
      <c r="H24" s="505"/>
      <c r="J24" s="500"/>
      <c r="K24" s="500"/>
      <c r="L24" s="505"/>
      <c r="M24" s="505"/>
      <c r="O24" s="500"/>
      <c r="P24" s="500"/>
      <c r="Q24" s="505"/>
      <c r="R24" s="505"/>
      <c r="S24" s="505"/>
      <c r="U24" s="500"/>
      <c r="V24" s="500"/>
      <c r="W24" s="505"/>
      <c r="X24" s="502"/>
      <c r="Y24" s="503"/>
      <c r="Z24" s="504"/>
      <c r="AA24" s="503"/>
    </row>
    <row r="25" spans="3:27" s="506" customFormat="1" ht="15" x14ac:dyDescent="0.3">
      <c r="D25" s="502"/>
      <c r="E25" s="505"/>
      <c r="F25" s="505"/>
      <c r="G25" s="505"/>
      <c r="H25" s="505"/>
      <c r="I25" s="502"/>
      <c r="J25" s="505"/>
      <c r="K25" s="505"/>
      <c r="L25" s="505"/>
      <c r="M25" s="505"/>
      <c r="N25" s="502"/>
      <c r="O25" s="505"/>
      <c r="P25" s="505"/>
      <c r="Q25" s="505"/>
      <c r="R25" s="505"/>
      <c r="S25" s="505"/>
      <c r="T25" s="502"/>
      <c r="U25" s="505"/>
      <c r="V25" s="505"/>
      <c r="W25" s="505"/>
      <c r="X25" s="502"/>
      <c r="Y25" s="503"/>
      <c r="Z25" s="504"/>
      <c r="AA25" s="503"/>
    </row>
    <row r="26" spans="3:27" x14ac:dyDescent="0.35">
      <c r="C26" s="506"/>
      <c r="D26" s="502"/>
      <c r="E26" s="505"/>
      <c r="F26" s="505"/>
      <c r="G26" s="502"/>
      <c r="H26" s="502"/>
      <c r="I26" s="502"/>
      <c r="J26" s="502"/>
      <c r="K26" s="502"/>
      <c r="L26" s="505"/>
      <c r="M26" s="505"/>
      <c r="N26" s="502"/>
      <c r="O26" s="505"/>
      <c r="P26" s="505"/>
      <c r="Q26" s="505"/>
      <c r="R26" s="505"/>
      <c r="S26" s="505"/>
      <c r="T26" s="502"/>
      <c r="U26" s="505"/>
      <c r="V26" s="505"/>
      <c r="W26" s="505"/>
    </row>
    <row r="27" spans="3:27" x14ac:dyDescent="0.35">
      <c r="C27" s="506"/>
      <c r="D27" s="502"/>
      <c r="E27" s="505"/>
      <c r="F27" s="505"/>
      <c r="G27" s="505"/>
      <c r="H27" s="505"/>
      <c r="I27" s="502"/>
      <c r="J27" s="505"/>
      <c r="K27" s="505"/>
      <c r="L27" s="505"/>
      <c r="M27" s="505"/>
      <c r="N27" s="502"/>
      <c r="O27" s="505"/>
      <c r="P27" s="505"/>
      <c r="Q27" s="505"/>
      <c r="R27" s="505"/>
      <c r="S27" s="505"/>
      <c r="T27" s="502"/>
      <c r="U27" s="505"/>
      <c r="V27" s="505"/>
      <c r="W27" s="505"/>
    </row>
    <row r="28" spans="3:27" x14ac:dyDescent="0.35">
      <c r="D28" s="507"/>
      <c r="E28" s="507"/>
      <c r="F28" s="507"/>
      <c r="G28" s="505"/>
      <c r="H28" s="505"/>
      <c r="O28" s="505"/>
      <c r="P28" s="505"/>
      <c r="Q28" s="505"/>
      <c r="R28" s="505"/>
      <c r="S28" s="505"/>
      <c r="T28" s="502"/>
      <c r="U28" s="505"/>
      <c r="V28" s="505"/>
      <c r="W28" s="505"/>
    </row>
    <row r="29" spans="3:27" x14ac:dyDescent="0.35">
      <c r="D29" s="508"/>
      <c r="E29" s="508"/>
      <c r="F29" s="508"/>
      <c r="L29" s="509"/>
      <c r="M29" s="509"/>
      <c r="N29" s="509"/>
    </row>
    <row r="30" spans="3:27" x14ac:dyDescent="0.35">
      <c r="D30" s="508"/>
      <c r="E30" s="508"/>
      <c r="F30" s="508"/>
      <c r="G30" s="507"/>
      <c r="H30" s="507"/>
      <c r="L30" s="509"/>
      <c r="M30" s="509"/>
      <c r="N30" s="509"/>
    </row>
    <row r="31" spans="3:27" x14ac:dyDescent="0.35">
      <c r="D31" s="508"/>
      <c r="E31" s="508"/>
      <c r="F31" s="508"/>
      <c r="L31" s="509"/>
      <c r="M31" s="509"/>
      <c r="N31" s="509"/>
    </row>
    <row r="32" spans="3:27" x14ac:dyDescent="0.35">
      <c r="D32" s="508"/>
      <c r="E32" s="508"/>
      <c r="F32" s="508"/>
      <c r="L32" s="509"/>
      <c r="M32" s="509"/>
      <c r="N32" s="509"/>
    </row>
    <row r="35" spans="4:16" x14ac:dyDescent="0.35">
      <c r="N35" s="513"/>
      <c r="O35" s="513"/>
      <c r="P35" s="513"/>
    </row>
    <row r="39" spans="4:16" x14ac:dyDescent="0.35">
      <c r="D39" s="514"/>
    </row>
    <row r="42" spans="4:16" x14ac:dyDescent="0.35">
      <c r="D42" s="511"/>
    </row>
    <row r="48" spans="4:16" x14ac:dyDescent="0.35">
      <c r="G48" s="515"/>
      <c r="H48" s="515"/>
      <c r="J48" s="515"/>
      <c r="K48" s="515"/>
    </row>
    <row r="49" spans="7:11" x14ac:dyDescent="0.35">
      <c r="G49" s="515"/>
      <c r="H49" s="515"/>
      <c r="J49" s="515"/>
      <c r="K49" s="515"/>
    </row>
    <row r="50" spans="7:11" x14ac:dyDescent="0.35">
      <c r="G50" s="515"/>
      <c r="H50" s="515"/>
      <c r="J50" s="515"/>
      <c r="K50" s="515"/>
    </row>
    <row r="51" spans="7:11" x14ac:dyDescent="0.35">
      <c r="G51" s="515"/>
      <c r="H51" s="515"/>
      <c r="J51" s="515"/>
      <c r="K51" s="515"/>
    </row>
    <row r="52" spans="7:11" x14ac:dyDescent="0.35">
      <c r="G52" s="515"/>
      <c r="H52" s="515"/>
      <c r="J52" s="515"/>
      <c r="K52" s="515"/>
    </row>
    <row r="53" spans="7:11" x14ac:dyDescent="0.35">
      <c r="G53" s="515"/>
      <c r="H53" s="515"/>
      <c r="J53" s="515"/>
      <c r="K53" s="515"/>
    </row>
    <row r="54" spans="7:11" x14ac:dyDescent="0.35">
      <c r="G54" s="515"/>
      <c r="H54" s="515"/>
      <c r="J54" s="515"/>
      <c r="K54" s="515"/>
    </row>
    <row r="55" spans="7:11" x14ac:dyDescent="0.35">
      <c r="G55" s="515"/>
      <c r="H55" s="515"/>
      <c r="J55" s="515"/>
      <c r="K55" s="515"/>
    </row>
    <row r="56" spans="7:11" x14ac:dyDescent="0.35">
      <c r="G56" s="515"/>
      <c r="H56" s="515"/>
      <c r="J56" s="515"/>
      <c r="K56" s="515"/>
    </row>
    <row r="57" spans="7:11" x14ac:dyDescent="0.35">
      <c r="G57" s="515"/>
      <c r="H57" s="515"/>
      <c r="J57" s="515"/>
      <c r="K57" s="515"/>
    </row>
    <row r="58" spans="7:11" x14ac:dyDescent="0.35">
      <c r="G58" s="515"/>
      <c r="H58" s="515"/>
      <c r="J58" s="515"/>
      <c r="K58" s="515"/>
    </row>
    <row r="59" spans="7:11" x14ac:dyDescent="0.35">
      <c r="G59" s="515"/>
      <c r="H59" s="515"/>
      <c r="J59" s="515"/>
      <c r="K59" s="515"/>
    </row>
    <row r="172" spans="24:24" x14ac:dyDescent="0.35">
      <c r="X172" s="510">
        <f ca="1">V3:X172</f>
        <v>0</v>
      </c>
    </row>
  </sheetData>
  <mergeCells count="11">
    <mergeCell ref="T4:W4"/>
    <mergeCell ref="T19:U19"/>
    <mergeCell ref="D2:W2"/>
    <mergeCell ref="D18:R18"/>
    <mergeCell ref="N19:O19"/>
    <mergeCell ref="D19:E19"/>
    <mergeCell ref="I19:J19"/>
    <mergeCell ref="D3:R3"/>
    <mergeCell ref="D4:G4"/>
    <mergeCell ref="I4:L4"/>
    <mergeCell ref="N4:Q4"/>
  </mergeCells>
  <printOptions horizontalCentered="1" verticalCentered="1"/>
  <pageMargins left="0" right="0" top="0" bottom="0" header="0" footer="0"/>
  <pageSetup paperSize="9" scale="99" orientation="landscape" r:id="rId1"/>
  <ignoredErrors>
    <ignoredError sqref="E16 J16 O16 E10 J10 O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  <pageSetUpPr fitToPage="1"/>
  </sheetPr>
  <dimension ref="B2:AD37"/>
  <sheetViews>
    <sheetView topLeftCell="F1" zoomScale="85" zoomScaleNormal="85" workbookViewId="0">
      <selection activeCell="T9" sqref="T9:U13"/>
    </sheetView>
  </sheetViews>
  <sheetFormatPr baseColWidth="10" defaultColWidth="11" defaultRowHeight="15.5" x14ac:dyDescent="0.35"/>
  <cols>
    <col min="1" max="1" width="11" style="547"/>
    <col min="2" max="2" width="16.75" style="547" bestFit="1" customWidth="1"/>
    <col min="3" max="3" width="0.83203125" style="547" customWidth="1"/>
    <col min="4" max="6" width="11.25" style="547" customWidth="1"/>
    <col min="7" max="7" width="0.83203125" style="547" customWidth="1"/>
    <col min="8" max="10" width="11.25" style="547" customWidth="1"/>
    <col min="11" max="11" width="0.83203125" style="547" customWidth="1"/>
    <col min="12" max="13" width="11.25" style="547" customWidth="1"/>
    <col min="14" max="14" width="11.08203125" style="547" bestFit="1" customWidth="1"/>
    <col min="15" max="15" width="0.83203125" style="547" customWidth="1"/>
    <col min="16" max="16" width="10" style="547" customWidth="1"/>
    <col min="17" max="17" width="9.58203125" style="547" customWidth="1"/>
    <col min="18" max="18" width="11.08203125" style="547" bestFit="1" customWidth="1"/>
    <col min="19" max="19" width="0.83203125" style="547" customWidth="1"/>
    <col min="20" max="21" width="11.25" style="547" customWidth="1"/>
    <col min="22" max="22" width="0.83203125" style="547" customWidth="1"/>
    <col min="23" max="24" width="11.25" style="547" customWidth="1"/>
    <col min="25" max="25" width="8.25" style="547" customWidth="1"/>
    <col min="26" max="26" width="9" style="547" customWidth="1"/>
    <col min="27" max="27" width="7.83203125" style="547" customWidth="1"/>
    <col min="28" max="16384" width="11" style="547"/>
  </cols>
  <sheetData>
    <row r="2" spans="2:30" ht="17.5" x14ac:dyDescent="0.35">
      <c r="D2" s="925" t="s">
        <v>552</v>
      </c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  <c r="V2" s="925"/>
      <c r="W2" s="925"/>
      <c r="X2" s="925"/>
    </row>
    <row r="4" spans="2:30" x14ac:dyDescent="0.35">
      <c r="B4" s="694"/>
      <c r="D4" s="926" t="s">
        <v>15</v>
      </c>
      <c r="E4" s="926"/>
      <c r="F4" s="926"/>
      <c r="G4" s="926"/>
      <c r="H4" s="926"/>
      <c r="I4" s="926"/>
      <c r="J4" s="926"/>
      <c r="K4" s="516"/>
      <c r="L4" s="926" t="s">
        <v>16</v>
      </c>
      <c r="M4" s="926"/>
      <c r="N4" s="926"/>
      <c r="O4" s="926"/>
      <c r="P4" s="926"/>
      <c r="Q4" s="926"/>
      <c r="R4" s="926"/>
      <c r="S4" s="516"/>
      <c r="T4" s="926" t="s">
        <v>529</v>
      </c>
      <c r="U4" s="926"/>
      <c r="V4" s="926"/>
      <c r="W4" s="926"/>
      <c r="X4" s="926"/>
    </row>
    <row r="5" spans="2:30" ht="10.5" customHeight="1" x14ac:dyDescent="0.35"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61"/>
      <c r="U5" s="561"/>
      <c r="V5" s="561"/>
      <c r="W5" s="561"/>
      <c r="X5" s="561"/>
    </row>
    <row r="6" spans="2:30" x14ac:dyDescent="0.35">
      <c r="B6" s="563"/>
      <c r="C6" s="563"/>
      <c r="D6" s="924">
        <v>2020</v>
      </c>
      <c r="E6" s="924"/>
      <c r="F6" s="924"/>
      <c r="G6" s="565"/>
      <c r="H6" s="924">
        <v>2019</v>
      </c>
      <c r="I6" s="924"/>
      <c r="J6" s="924"/>
      <c r="K6" s="564"/>
      <c r="L6" s="924">
        <v>2020</v>
      </c>
      <c r="M6" s="924"/>
      <c r="N6" s="924"/>
      <c r="O6" s="565"/>
      <c r="P6" s="924">
        <v>2019</v>
      </c>
      <c r="Q6" s="924"/>
      <c r="R6" s="924"/>
      <c r="S6" s="564"/>
      <c r="T6" s="924">
        <v>2020</v>
      </c>
      <c r="U6" s="924"/>
      <c r="V6" s="565"/>
      <c r="W6" s="924">
        <v>2019</v>
      </c>
      <c r="X6" s="924"/>
      <c r="Y6" s="922"/>
      <c r="Z6" s="922"/>
      <c r="AA6" s="922"/>
      <c r="AB6" s="922"/>
      <c r="AC6" s="922"/>
      <c r="AD6" s="922"/>
    </row>
    <row r="7" spans="2:30" ht="30" x14ac:dyDescent="0.35">
      <c r="B7" s="563"/>
      <c r="C7" s="563"/>
      <c r="D7" s="562" t="s">
        <v>553</v>
      </c>
      <c r="E7" s="551" t="s">
        <v>565</v>
      </c>
      <c r="F7" s="562" t="s">
        <v>562</v>
      </c>
      <c r="G7" s="565"/>
      <c r="H7" s="739" t="s">
        <v>553</v>
      </c>
      <c r="I7" s="551" t="s">
        <v>565</v>
      </c>
      <c r="J7" s="739" t="s">
        <v>562</v>
      </c>
      <c r="K7" s="564"/>
      <c r="L7" s="562" t="s">
        <v>553</v>
      </c>
      <c r="M7" s="551" t="s">
        <v>565</v>
      </c>
      <c r="N7" s="681" t="s">
        <v>563</v>
      </c>
      <c r="O7" s="560"/>
      <c r="P7" s="739" t="s">
        <v>553</v>
      </c>
      <c r="Q7" s="551" t="s">
        <v>565</v>
      </c>
      <c r="R7" s="739" t="s">
        <v>563</v>
      </c>
      <c r="S7" s="566"/>
      <c r="T7" s="562" t="s">
        <v>553</v>
      </c>
      <c r="U7" s="551" t="s">
        <v>565</v>
      </c>
      <c r="V7" s="560"/>
      <c r="W7" s="739" t="s">
        <v>553</v>
      </c>
      <c r="X7" s="551" t="s">
        <v>565</v>
      </c>
      <c r="Y7" s="566"/>
      <c r="Z7" s="566"/>
      <c r="AA7" s="566"/>
      <c r="AB7" s="566"/>
      <c r="AC7" s="566"/>
      <c r="AD7" s="566"/>
    </row>
    <row r="8" spans="2:30" x14ac:dyDescent="0.35">
      <c r="B8" s="563"/>
      <c r="C8" s="563"/>
      <c r="D8" s="565"/>
      <c r="E8" s="560"/>
      <c r="F8" s="565"/>
      <c r="G8" s="565"/>
      <c r="H8" s="565"/>
      <c r="I8" s="560"/>
      <c r="J8" s="565"/>
      <c r="K8" s="564"/>
      <c r="L8" s="565"/>
      <c r="M8" s="560"/>
      <c r="N8" s="560"/>
      <c r="O8" s="560"/>
      <c r="P8" s="565"/>
      <c r="Q8" s="560"/>
      <c r="R8" s="560"/>
      <c r="S8" s="566"/>
      <c r="T8" s="565"/>
      <c r="U8" s="560"/>
      <c r="V8" s="560"/>
      <c r="W8" s="565"/>
      <c r="X8" s="560"/>
      <c r="Y8" s="566"/>
      <c r="Z8" s="566"/>
      <c r="AA8" s="566"/>
      <c r="AB8" s="566"/>
      <c r="AC8" s="566"/>
      <c r="AD8" s="566"/>
    </row>
    <row r="9" spans="2:30" x14ac:dyDescent="0.35">
      <c r="B9" s="563" t="s">
        <v>4</v>
      </c>
      <c r="C9" s="563"/>
      <c r="D9" s="755">
        <v>34220</v>
      </c>
      <c r="E9" s="755">
        <v>29956</v>
      </c>
      <c r="F9" s="586">
        <f>E9/Mercados!D16</f>
        <v>9.0511901668469494E-2</v>
      </c>
      <c r="G9" s="567"/>
      <c r="H9" s="584">
        <v>22010</v>
      </c>
      <c r="I9" s="584">
        <v>19712</v>
      </c>
      <c r="J9" s="586">
        <f>I9/'Resultados divisiones'!E9</f>
        <v>5.0332580080942713E-2</v>
      </c>
      <c r="K9" s="586"/>
      <c r="L9" s="755">
        <v>28507</v>
      </c>
      <c r="M9" s="755">
        <v>25208</v>
      </c>
      <c r="N9" s="588"/>
      <c r="O9" s="588"/>
      <c r="P9" s="755">
        <v>39358</v>
      </c>
      <c r="Q9" s="755">
        <v>39358</v>
      </c>
      <c r="R9" s="588"/>
      <c r="S9" s="588"/>
      <c r="T9" s="755">
        <f>D9-L9</f>
        <v>5713</v>
      </c>
      <c r="U9" s="755">
        <f t="shared" ref="U9:U11" si="0">E9-M9</f>
        <v>4748</v>
      </c>
      <c r="V9" s="584"/>
      <c r="W9" s="755">
        <v>-17348</v>
      </c>
      <c r="X9" s="755">
        <v>-19646</v>
      </c>
      <c r="Y9" s="511"/>
      <c r="Z9" s="511"/>
      <c r="AA9" s="511"/>
      <c r="AB9" s="511"/>
      <c r="AC9" s="511"/>
      <c r="AD9" s="511"/>
    </row>
    <row r="10" spans="2:30" x14ac:dyDescent="0.35">
      <c r="B10" s="563" t="s">
        <v>7</v>
      </c>
      <c r="C10" s="563"/>
      <c r="D10" s="755">
        <v>43719</v>
      </c>
      <c r="E10" s="755">
        <v>38264</v>
      </c>
      <c r="F10" s="586">
        <f>E10/Mercados!I16</f>
        <v>0.24105281062386211</v>
      </c>
      <c r="G10" s="567"/>
      <c r="H10" s="584">
        <v>55635</v>
      </c>
      <c r="I10" s="584">
        <v>49683</v>
      </c>
      <c r="J10" s="586">
        <f>I10/'Resultados divisiones'!I9</f>
        <v>0.26205910742825195</v>
      </c>
      <c r="K10" s="586"/>
      <c r="L10" s="798">
        <v>0</v>
      </c>
      <c r="M10" s="798">
        <v>0</v>
      </c>
      <c r="N10" s="588"/>
      <c r="O10" s="588"/>
      <c r="P10" s="798">
        <v>0</v>
      </c>
      <c r="Q10" s="798">
        <v>0</v>
      </c>
      <c r="R10" s="588"/>
      <c r="S10" s="588"/>
      <c r="T10" s="755">
        <f t="shared" ref="T10:T11" si="1">D10-L10</f>
        <v>43719</v>
      </c>
      <c r="U10" s="755">
        <f t="shared" si="0"/>
        <v>38264</v>
      </c>
      <c r="V10" s="584"/>
      <c r="W10" s="755">
        <v>55635</v>
      </c>
      <c r="X10" s="755">
        <v>49683</v>
      </c>
      <c r="Y10" s="511"/>
      <c r="Z10" s="511"/>
      <c r="AA10" s="511"/>
      <c r="AB10" s="511"/>
      <c r="AD10" s="511"/>
    </row>
    <row r="11" spans="2:30" x14ac:dyDescent="0.35">
      <c r="B11" s="563" t="s">
        <v>2</v>
      </c>
      <c r="C11" s="563"/>
      <c r="D11" s="755">
        <v>26818</v>
      </c>
      <c r="E11" s="755">
        <v>23572</v>
      </c>
      <c r="F11" s="586">
        <f>E11/Mercados!N16</f>
        <v>0.40968420320837029</v>
      </c>
      <c r="G11" s="567"/>
      <c r="H11" s="584">
        <v>27750</v>
      </c>
      <c r="I11" s="584">
        <v>24838</v>
      </c>
      <c r="J11" s="586">
        <f>I11/'Resultados divisiones'!M9</f>
        <v>0.4318525602016865</v>
      </c>
      <c r="K11" s="586"/>
      <c r="L11" s="755">
        <v>13570</v>
      </c>
      <c r="M11" s="755">
        <v>11882</v>
      </c>
      <c r="N11" s="588"/>
      <c r="O11" s="588"/>
      <c r="P11" s="755">
        <v>9620</v>
      </c>
      <c r="Q11" s="755">
        <v>9620</v>
      </c>
      <c r="R11" s="588"/>
      <c r="S11" s="588"/>
      <c r="T11" s="755">
        <f t="shared" si="1"/>
        <v>13248</v>
      </c>
      <c r="U11" s="755">
        <f t="shared" si="0"/>
        <v>11690</v>
      </c>
      <c r="V11" s="584"/>
      <c r="W11" s="755">
        <v>18130</v>
      </c>
      <c r="X11" s="755">
        <v>15218</v>
      </c>
      <c r="Y11" s="511"/>
      <c r="Z11" s="511"/>
      <c r="AA11" s="511"/>
      <c r="AB11" s="511"/>
      <c r="AC11" s="511"/>
      <c r="AD11" s="511"/>
    </row>
    <row r="12" spans="2:30" ht="6.75" customHeight="1" x14ac:dyDescent="0.35">
      <c r="B12" s="563"/>
      <c r="C12" s="563"/>
      <c r="D12" s="755"/>
      <c r="E12" s="755"/>
      <c r="F12" s="586"/>
      <c r="G12" s="567"/>
      <c r="H12" s="584"/>
      <c r="I12" s="584"/>
      <c r="J12" s="586"/>
      <c r="K12" s="586"/>
      <c r="L12" s="755"/>
      <c r="M12" s="755"/>
      <c r="N12" s="588"/>
      <c r="O12" s="588"/>
      <c r="P12" s="755"/>
      <c r="Q12" s="755"/>
      <c r="R12" s="588"/>
      <c r="S12" s="588"/>
      <c r="T12" s="755"/>
      <c r="U12" s="755"/>
      <c r="V12" s="584"/>
      <c r="W12" s="755"/>
      <c r="X12" s="755"/>
      <c r="Y12" s="511"/>
      <c r="Z12" s="511"/>
      <c r="AA12" s="511"/>
      <c r="AB12" s="511"/>
      <c r="AC12" s="511"/>
      <c r="AD12" s="511"/>
    </row>
    <row r="13" spans="2:30" ht="21" customHeight="1" x14ac:dyDescent="0.35">
      <c r="B13" s="690" t="s">
        <v>549</v>
      </c>
      <c r="C13" s="691"/>
      <c r="D13" s="799">
        <f>D9+D10+D11</f>
        <v>104757</v>
      </c>
      <c r="E13" s="799">
        <f>E9+E10+E11</f>
        <v>91792</v>
      </c>
      <c r="F13" s="693">
        <v>0.14799999999999999</v>
      </c>
      <c r="G13" s="569"/>
      <c r="H13" s="692">
        <f>H9+H10+H11</f>
        <v>105395</v>
      </c>
      <c r="I13" s="692">
        <f>I9+I10+I11</f>
        <v>94233</v>
      </c>
      <c r="J13" s="693">
        <v>0.13500000000000001</v>
      </c>
      <c r="K13" s="587"/>
      <c r="L13" s="799">
        <f>L9+L10+L11</f>
        <v>42077</v>
      </c>
      <c r="M13" s="799">
        <f>M9+M10+M11</f>
        <v>37090</v>
      </c>
      <c r="N13" s="693">
        <f>M13/Compras!D6</f>
        <v>0.10904333509731287</v>
      </c>
      <c r="O13" s="587"/>
      <c r="P13" s="799">
        <f>P9+P10+P11</f>
        <v>48978</v>
      </c>
      <c r="Q13" s="799">
        <f>Q9+Q10+Q11</f>
        <v>48978</v>
      </c>
      <c r="R13" s="693">
        <f>Q13/Compras!D6</f>
        <v>0.14399364967366379</v>
      </c>
      <c r="S13" s="587"/>
      <c r="T13" s="799">
        <f>D13-L13</f>
        <v>62680</v>
      </c>
      <c r="U13" s="799">
        <f>E13-M13</f>
        <v>54702</v>
      </c>
      <c r="V13" s="585"/>
      <c r="W13" s="799">
        <v>56417</v>
      </c>
      <c r="X13" s="799">
        <v>45255</v>
      </c>
      <c r="Y13" s="502"/>
      <c r="Z13" s="502"/>
      <c r="AA13" s="502"/>
      <c r="AB13" s="502"/>
      <c r="AC13" s="502"/>
      <c r="AD13" s="502"/>
    </row>
    <row r="14" spans="2:30" x14ac:dyDescent="0.35">
      <c r="T14" s="797"/>
      <c r="U14" s="741"/>
      <c r="V14" s="511"/>
      <c r="W14" s="511"/>
      <c r="X14" s="511"/>
    </row>
    <row r="15" spans="2:30" x14ac:dyDescent="0.35">
      <c r="B15" s="571"/>
      <c r="C15" s="571"/>
      <c r="D15" s="927"/>
      <c r="E15" s="927"/>
      <c r="F15" s="927"/>
      <c r="G15" s="927"/>
      <c r="H15" s="927"/>
      <c r="I15" s="927"/>
      <c r="J15" s="927"/>
      <c r="K15" s="927"/>
      <c r="L15" s="927"/>
      <c r="M15" s="927"/>
    </row>
    <row r="16" spans="2:30" s="682" customFormat="1" ht="17.5" x14ac:dyDescent="0.35">
      <c r="B16" s="506" t="s">
        <v>567</v>
      </c>
      <c r="D16" s="920" t="s">
        <v>568</v>
      </c>
      <c r="E16" s="920"/>
      <c r="F16" s="920"/>
      <c r="L16" s="928"/>
      <c r="M16" s="928"/>
    </row>
    <row r="17" spans="2:27" s="682" customFormat="1" x14ac:dyDescent="0.35">
      <c r="L17" s="566"/>
      <c r="M17" s="566"/>
      <c r="T17" s="570"/>
    </row>
    <row r="18" spans="2:27" s="682" customFormat="1" ht="30" x14ac:dyDescent="0.35">
      <c r="C18" s="563"/>
      <c r="D18" s="695" t="s">
        <v>651</v>
      </c>
      <c r="E18" s="695" t="s">
        <v>644</v>
      </c>
      <c r="F18" s="695" t="s">
        <v>566</v>
      </c>
      <c r="Y18" s="572"/>
      <c r="Z18" s="572"/>
      <c r="AA18" s="573"/>
    </row>
    <row r="19" spans="2:27" s="682" customFormat="1" x14ac:dyDescent="0.35">
      <c r="C19" s="563"/>
      <c r="Y19" s="572"/>
      <c r="Z19" s="572"/>
      <c r="AA19" s="573"/>
    </row>
    <row r="20" spans="2:27" s="682" customFormat="1" x14ac:dyDescent="0.35">
      <c r="B20" s="563" t="s">
        <v>15</v>
      </c>
      <c r="C20" s="563"/>
      <c r="D20" s="866">
        <v>1.1402000000000001</v>
      </c>
      <c r="E20" s="682">
        <v>1.1180000000000001</v>
      </c>
      <c r="F20" s="580">
        <f>(D20-E20)/E20</f>
        <v>1.9856887298747759E-2</v>
      </c>
      <c r="T20" s="558"/>
      <c r="Y20" s="572"/>
      <c r="Z20" s="573"/>
    </row>
    <row r="21" spans="2:27" x14ac:dyDescent="0.35">
      <c r="B21" s="701" t="s">
        <v>16</v>
      </c>
      <c r="C21" s="701"/>
      <c r="D21" s="867">
        <v>1.1345000000000001</v>
      </c>
      <c r="E21" s="702">
        <v>1.1200000000000001</v>
      </c>
      <c r="F21" s="703">
        <f>(D21-E21)/E21</f>
        <v>1.2946428571428532E-2</v>
      </c>
      <c r="P21" s="572"/>
    </row>
    <row r="22" spans="2:27" x14ac:dyDescent="0.35">
      <c r="C22" s="563"/>
      <c r="D22" s="682"/>
      <c r="E22" s="682"/>
      <c r="F22" s="682"/>
    </row>
    <row r="27" spans="2:27" x14ac:dyDescent="0.35">
      <c r="J27" s="570"/>
      <c r="K27" s="570"/>
    </row>
    <row r="30" spans="2:27" x14ac:dyDescent="0.35">
      <c r="G30" s="577"/>
      <c r="H30" s="578"/>
    </row>
    <row r="31" spans="2:27" x14ac:dyDescent="0.35">
      <c r="B31" s="581"/>
      <c r="C31" s="581"/>
      <c r="D31" s="582"/>
      <c r="E31" s="579"/>
      <c r="F31" s="579"/>
      <c r="G31" s="579"/>
      <c r="H31" s="582"/>
    </row>
    <row r="32" spans="2:27" x14ac:dyDescent="0.35">
      <c r="B32" s="574"/>
      <c r="C32" s="574"/>
      <c r="D32" s="575"/>
      <c r="E32" s="576"/>
      <c r="F32" s="574"/>
      <c r="G32" s="574"/>
      <c r="H32" s="575"/>
    </row>
    <row r="33" spans="2:8" x14ac:dyDescent="0.35">
      <c r="B33" s="581"/>
      <c r="C33" s="581"/>
      <c r="D33" s="582"/>
      <c r="E33" s="579"/>
      <c r="F33" s="581"/>
      <c r="G33" s="581"/>
      <c r="H33" s="582"/>
    </row>
    <row r="35" spans="2:8" x14ac:dyDescent="0.35">
      <c r="D35" s="512"/>
      <c r="E35" s="512"/>
    </row>
    <row r="36" spans="2:8" x14ac:dyDescent="0.35">
      <c r="D36" s="583"/>
      <c r="E36" s="583"/>
      <c r="F36" s="580"/>
      <c r="G36" s="580"/>
    </row>
    <row r="37" spans="2:8" x14ac:dyDescent="0.35">
      <c r="D37" s="583"/>
      <c r="E37" s="583"/>
      <c r="F37" s="580"/>
      <c r="G37" s="580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rintOptions horizontalCentered="1" verticalCentered="1"/>
  <pageMargins left="0" right="0" top="0" bottom="0" header="0" footer="0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38DD5"/>
  </sheetPr>
  <dimension ref="B2:S43"/>
  <sheetViews>
    <sheetView workbookViewId="0">
      <selection activeCell="J23" sqref="J23"/>
    </sheetView>
  </sheetViews>
  <sheetFormatPr baseColWidth="10" defaultColWidth="11" defaultRowHeight="15.5" x14ac:dyDescent="0.35"/>
  <cols>
    <col min="1" max="1" width="11" style="510"/>
    <col min="2" max="2" width="31.25" style="510" customWidth="1"/>
    <col min="3" max="3" width="0.83203125" style="510" customWidth="1"/>
    <col min="4" max="4" width="13.58203125" style="757" customWidth="1"/>
    <col min="5" max="5" width="0.83203125" style="510" customWidth="1"/>
    <col min="6" max="6" width="13.58203125" style="757" customWidth="1"/>
    <col min="7" max="7" width="0.83203125" style="510" customWidth="1"/>
    <col min="8" max="8" width="13.58203125" style="757" customWidth="1"/>
    <col min="9" max="9" width="0.83203125" style="510" customWidth="1"/>
    <col min="10" max="10" width="13.58203125" style="757" customWidth="1"/>
    <col min="11" max="13" width="11" style="510"/>
    <col min="14" max="14" width="9.75" style="510" customWidth="1"/>
    <col min="15" max="16" width="7.58203125" style="510" customWidth="1"/>
    <col min="17" max="17" width="6.75" style="510" customWidth="1"/>
    <col min="18" max="18" width="7.33203125" style="510" customWidth="1"/>
    <col min="19" max="19" width="7.5" style="510" customWidth="1"/>
    <col min="20" max="20" width="7.08203125" style="510" customWidth="1"/>
    <col min="21" max="21" width="6.08203125" style="510" customWidth="1"/>
    <col min="22" max="16384" width="11" style="510"/>
  </cols>
  <sheetData>
    <row r="2" spans="2:19" ht="17.5" x14ac:dyDescent="0.35">
      <c r="B2" s="920" t="s">
        <v>201</v>
      </c>
      <c r="C2" s="920"/>
      <c r="D2" s="920"/>
      <c r="E2" s="920"/>
      <c r="F2" s="920"/>
      <c r="G2" s="920"/>
      <c r="H2" s="920"/>
      <c r="I2" s="920"/>
      <c r="J2" s="920"/>
    </row>
    <row r="3" spans="2:19" ht="17.5" x14ac:dyDescent="0.35">
      <c r="B3" s="611"/>
      <c r="C3" s="611"/>
      <c r="D3" s="611"/>
      <c r="E3" s="611"/>
      <c r="F3" s="611"/>
      <c r="G3" s="611"/>
      <c r="H3" s="611"/>
      <c r="I3" s="611"/>
      <c r="J3" s="611"/>
    </row>
    <row r="4" spans="2:19" ht="30" x14ac:dyDescent="0.35">
      <c r="B4" s="696" t="s">
        <v>300</v>
      </c>
      <c r="C4" s="574"/>
      <c r="D4" s="551" t="s">
        <v>647</v>
      </c>
      <c r="E4" s="560"/>
      <c r="F4" s="551" t="s">
        <v>631</v>
      </c>
      <c r="G4" s="560"/>
      <c r="H4" s="551" t="s">
        <v>564</v>
      </c>
      <c r="I4" s="560"/>
      <c r="J4" s="551" t="s">
        <v>301</v>
      </c>
      <c r="K4" s="589"/>
      <c r="L4" s="589"/>
      <c r="M4" s="589"/>
      <c r="N4" s="547"/>
    </row>
    <row r="5" spans="2:19" x14ac:dyDescent="0.35">
      <c r="B5" s="574"/>
      <c r="C5" s="574"/>
      <c r="D5" s="574"/>
      <c r="E5" s="574"/>
      <c r="F5" s="574"/>
      <c r="G5" s="574"/>
      <c r="H5" s="589"/>
      <c r="I5" s="589"/>
      <c r="J5" s="589"/>
      <c r="K5" s="589"/>
      <c r="L5" s="589"/>
      <c r="M5" s="589"/>
      <c r="N5" s="547"/>
    </row>
    <row r="6" spans="2:19" x14ac:dyDescent="0.35">
      <c r="B6" s="614" t="s">
        <v>201</v>
      </c>
      <c r="D6" s="826">
        <f>D7+D8</f>
        <v>340140</v>
      </c>
      <c r="E6" s="502"/>
      <c r="F6" s="756">
        <f>F7+F8</f>
        <v>439744</v>
      </c>
      <c r="G6" s="502"/>
      <c r="H6" s="756">
        <f>H7+H8</f>
        <v>-99604</v>
      </c>
      <c r="I6" s="502"/>
      <c r="J6" s="615">
        <f>(D6-F6)/F6</f>
        <v>-0.22650451171590744</v>
      </c>
      <c r="K6" s="589"/>
      <c r="L6" s="589"/>
      <c r="M6" s="590"/>
      <c r="N6" s="547"/>
    </row>
    <row r="7" spans="2:19" x14ac:dyDescent="0.35">
      <c r="B7" s="697" t="s">
        <v>85</v>
      </c>
      <c r="C7" s="613"/>
      <c r="D7" s="827">
        <v>267946</v>
      </c>
      <c r="E7" s="575"/>
      <c r="F7" s="575">
        <v>343573</v>
      </c>
      <c r="G7" s="575"/>
      <c r="H7" s="575">
        <f>+D7-F7</f>
        <v>-75627</v>
      </c>
      <c r="I7" s="502"/>
      <c r="J7" s="576">
        <f t="shared" ref="J7:J12" si="0">(D7-F7)/F7</f>
        <v>-0.22011915953814765</v>
      </c>
      <c r="K7" s="591"/>
      <c r="L7" s="591"/>
      <c r="M7" s="592"/>
      <c r="N7" s="547"/>
    </row>
    <row r="8" spans="2:19" x14ac:dyDescent="0.35">
      <c r="B8" s="697" t="s">
        <v>197</v>
      </c>
      <c r="C8" s="613"/>
      <c r="D8" s="828">
        <f>SUM(D9:D12)</f>
        <v>72194</v>
      </c>
      <c r="E8" s="605"/>
      <c r="F8" s="605">
        <f>SUM(F9:F12)</f>
        <v>96171</v>
      </c>
      <c r="G8" s="605"/>
      <c r="H8" s="575">
        <f>H9+H10+H11+H12</f>
        <v>-23977</v>
      </c>
      <c r="I8" s="502"/>
      <c r="J8" s="576">
        <f t="shared" si="0"/>
        <v>-0.24931632196816089</v>
      </c>
      <c r="K8" s="593"/>
      <c r="L8" s="591"/>
      <c r="M8" s="592"/>
      <c r="N8" s="547"/>
      <c r="O8" s="547"/>
      <c r="P8" s="547"/>
      <c r="Q8" s="547"/>
      <c r="R8" s="547"/>
    </row>
    <row r="9" spans="2:19" x14ac:dyDescent="0.35">
      <c r="B9" s="594" t="s">
        <v>83</v>
      </c>
      <c r="C9" s="594"/>
      <c r="D9" s="762">
        <v>49136</v>
      </c>
      <c r="E9" s="606"/>
      <c r="F9" s="762">
        <v>64774</v>
      </c>
      <c r="G9" s="606"/>
      <c r="H9" s="582">
        <f>+D9-F9</f>
        <v>-15638</v>
      </c>
      <c r="I9" s="511"/>
      <c r="J9" s="579">
        <f t="shared" si="0"/>
        <v>-0.24142402815944669</v>
      </c>
      <c r="K9" s="593"/>
      <c r="L9" s="591"/>
      <c r="M9" s="592"/>
      <c r="N9" s="547"/>
      <c r="O9" s="547"/>
      <c r="P9" s="547"/>
      <c r="Q9" s="547"/>
      <c r="R9" s="547"/>
    </row>
    <row r="10" spans="2:19" x14ac:dyDescent="0.35">
      <c r="B10" s="594" t="s">
        <v>198</v>
      </c>
      <c r="C10" s="594"/>
      <c r="D10" s="762">
        <v>20787</v>
      </c>
      <c r="E10" s="606"/>
      <c r="F10" s="762">
        <v>28825</v>
      </c>
      <c r="G10" s="606"/>
      <c r="H10" s="582">
        <f>+D10-F10</f>
        <v>-8038</v>
      </c>
      <c r="I10" s="511"/>
      <c r="J10" s="579">
        <f t="shared" si="0"/>
        <v>-0.2788551604509974</v>
      </c>
      <c r="K10" s="593"/>
      <c r="L10" s="591"/>
      <c r="M10" s="592"/>
      <c r="N10" s="547"/>
      <c r="O10" s="547"/>
      <c r="P10" s="547"/>
      <c r="Q10" s="547"/>
      <c r="R10" s="547"/>
    </row>
    <row r="11" spans="2:19" x14ac:dyDescent="0.35">
      <c r="B11" s="594" t="s">
        <v>199</v>
      </c>
      <c r="C11" s="594"/>
      <c r="D11" s="762">
        <v>2268</v>
      </c>
      <c r="E11" s="606"/>
      <c r="F11" s="762">
        <v>2570</v>
      </c>
      <c r="G11" s="606"/>
      <c r="H11" s="582">
        <f>+D11-F11</f>
        <v>-302</v>
      </c>
      <c r="I11" s="511"/>
      <c r="J11" s="579">
        <f t="shared" si="0"/>
        <v>-0.11750972762645914</v>
      </c>
      <c r="K11" s="593"/>
      <c r="L11" s="591"/>
      <c r="M11" s="592"/>
      <c r="N11" s="547"/>
      <c r="O11" s="547"/>
      <c r="P11" s="547"/>
      <c r="Q11" s="547"/>
      <c r="R11" s="547"/>
    </row>
    <row r="12" spans="2:19" x14ac:dyDescent="0.35">
      <c r="B12" s="607" t="s">
        <v>14</v>
      </c>
      <c r="C12" s="607"/>
      <c r="D12" s="762">
        <v>3</v>
      </c>
      <c r="E12" s="606"/>
      <c r="F12" s="762">
        <v>2</v>
      </c>
      <c r="G12" s="606"/>
      <c r="H12" s="582">
        <f>+D12-F12</f>
        <v>1</v>
      </c>
      <c r="I12" s="511"/>
      <c r="J12" s="579">
        <f t="shared" si="0"/>
        <v>0.5</v>
      </c>
      <c r="K12" s="547"/>
      <c r="L12" s="591"/>
      <c r="M12" s="592"/>
      <c r="N12" s="547"/>
      <c r="O12" s="547"/>
      <c r="P12" s="547"/>
      <c r="Q12" s="547"/>
      <c r="R12" s="547"/>
    </row>
    <row r="13" spans="2:19" x14ac:dyDescent="0.35">
      <c r="D13" s="829"/>
      <c r="H13" s="581"/>
      <c r="I13" s="581"/>
      <c r="J13" s="557"/>
      <c r="K13" s="556"/>
      <c r="L13" s="547"/>
      <c r="M13" s="592"/>
      <c r="N13" s="547"/>
      <c r="O13" s="547"/>
      <c r="P13" s="547"/>
      <c r="Q13" s="547"/>
      <c r="R13" s="547"/>
    </row>
    <row r="14" spans="2:19" s="688" customFormat="1" ht="18" x14ac:dyDescent="0.4">
      <c r="B14" s="714" t="s">
        <v>15</v>
      </c>
      <c r="C14" s="715"/>
      <c r="D14" s="830">
        <f>Resultados!D7</f>
        <v>547236</v>
      </c>
      <c r="E14" s="717"/>
      <c r="F14" s="716">
        <f>Resultados!F7</f>
        <v>638737</v>
      </c>
      <c r="G14" s="717"/>
      <c r="H14" s="716">
        <f>D14-F14</f>
        <v>-91501</v>
      </c>
      <c r="J14" s="718">
        <f>(D14-F14)/F14</f>
        <v>-0.14325301336856955</v>
      </c>
      <c r="N14" s="719"/>
    </row>
    <row r="15" spans="2:19" x14ac:dyDescent="0.35">
      <c r="B15" s="581"/>
      <c r="C15" s="581"/>
      <c r="D15" s="831"/>
      <c r="E15" s="582"/>
      <c r="F15" s="582"/>
      <c r="G15" s="582"/>
      <c r="H15" s="581"/>
      <c r="I15" s="547"/>
      <c r="J15" s="595"/>
      <c r="K15" s="547"/>
      <c r="L15" s="547"/>
      <c r="M15" s="547"/>
      <c r="N15" s="592"/>
      <c r="O15" s="547"/>
      <c r="P15" s="547"/>
      <c r="Q15" s="547"/>
      <c r="R15" s="547"/>
      <c r="S15" s="547"/>
    </row>
    <row r="16" spans="2:19" x14ac:dyDescent="0.35">
      <c r="B16" s="614" t="s">
        <v>200</v>
      </c>
      <c r="C16" s="574"/>
      <c r="D16" s="832">
        <f>D6/D14</f>
        <v>0.62155998508870025</v>
      </c>
      <c r="E16" s="576"/>
      <c r="F16" s="615">
        <f>F6/F14</f>
        <v>0.68845863007779418</v>
      </c>
      <c r="G16" s="576"/>
      <c r="H16" s="615"/>
      <c r="I16" s="576"/>
      <c r="J16" s="615"/>
      <c r="K16" s="576"/>
      <c r="L16" s="576"/>
      <c r="M16" s="576"/>
      <c r="N16" s="590"/>
      <c r="O16" s="547"/>
      <c r="P16" s="547"/>
      <c r="Q16" s="547"/>
      <c r="R16" s="547"/>
      <c r="S16" s="547"/>
    </row>
    <row r="17" spans="2:17" x14ac:dyDescent="0.35">
      <c r="B17" s="574"/>
      <c r="C17" s="574"/>
      <c r="D17" s="590"/>
      <c r="E17" s="590"/>
      <c r="F17" s="590"/>
      <c r="G17" s="590"/>
      <c r="H17" s="590"/>
      <c r="I17" s="590"/>
      <c r="J17" s="590"/>
      <c r="K17" s="590"/>
      <c r="L17" s="590"/>
      <c r="M17" s="547"/>
      <c r="N17" s="547"/>
      <c r="O17" s="547"/>
      <c r="P17" s="547"/>
      <c r="Q17" s="547"/>
    </row>
    <row r="18" spans="2:17" x14ac:dyDescent="0.35">
      <c r="B18" s="547"/>
      <c r="C18" s="547"/>
      <c r="D18" s="574"/>
      <c r="E18" s="574"/>
      <c r="F18" s="574"/>
      <c r="G18" s="506"/>
      <c r="H18" s="601"/>
      <c r="I18" s="601"/>
      <c r="J18" s="600"/>
      <c r="K18" s="596"/>
      <c r="L18" s="589"/>
      <c r="O18" s="547"/>
      <c r="P18" s="547"/>
      <c r="Q18" s="547"/>
    </row>
    <row r="19" spans="2:17" x14ac:dyDescent="0.35">
      <c r="B19" s="547"/>
      <c r="C19" s="547"/>
      <c r="D19" s="758"/>
      <c r="E19" s="499"/>
      <c r="F19" s="758"/>
      <c r="G19" s="499"/>
      <c r="H19" s="592"/>
      <c r="I19" s="592"/>
      <c r="J19" s="608"/>
      <c r="K19" s="547"/>
      <c r="L19" s="547"/>
      <c r="O19" s="547"/>
      <c r="P19" s="547"/>
      <c r="Q19" s="547"/>
    </row>
    <row r="20" spans="2:17" x14ac:dyDescent="0.35">
      <c r="B20" s="581"/>
      <c r="C20" s="581"/>
      <c r="D20" s="595"/>
      <c r="E20" s="595"/>
      <c r="F20" s="595"/>
      <c r="G20" s="595"/>
      <c r="H20" s="595"/>
      <c r="I20" s="595"/>
      <c r="J20" s="597"/>
      <c r="K20" s="547"/>
      <c r="L20" s="547"/>
      <c r="M20" s="558"/>
      <c r="N20" s="558"/>
      <c r="O20" s="547"/>
      <c r="P20" s="547"/>
      <c r="Q20" s="547"/>
    </row>
    <row r="21" spans="2:17" x14ac:dyDescent="0.35">
      <c r="B21" s="581"/>
      <c r="C21" s="581"/>
      <c r="D21" s="595"/>
      <c r="E21" s="595"/>
      <c r="F21" s="595"/>
      <c r="G21" s="595"/>
      <c r="H21" s="595"/>
      <c r="I21" s="595"/>
      <c r="J21" s="581"/>
      <c r="K21" s="598"/>
      <c r="L21" s="598"/>
      <c r="M21" s="547"/>
      <c r="N21" s="547"/>
      <c r="O21" s="547"/>
      <c r="P21" s="547"/>
      <c r="Q21" s="547"/>
    </row>
    <row r="22" spans="2:17" x14ac:dyDescent="0.35">
      <c r="B22" s="599"/>
      <c r="C22" s="599"/>
      <c r="D22" s="599"/>
      <c r="E22" s="599"/>
      <c r="F22" s="599"/>
      <c r="G22" s="599"/>
      <c r="H22" s="599"/>
      <c r="I22" s="599"/>
      <c r="J22" s="581"/>
      <c r="K22" s="547"/>
      <c r="L22" s="583"/>
    </row>
    <row r="23" spans="2:17" x14ac:dyDescent="0.35">
      <c r="F23" s="763"/>
      <c r="N23" s="609"/>
      <c r="O23" s="609"/>
    </row>
    <row r="24" spans="2:17" x14ac:dyDescent="0.35">
      <c r="B24" s="563"/>
      <c r="C24" s="563"/>
      <c r="D24" s="568"/>
      <c r="E24" s="568"/>
      <c r="F24" s="763"/>
      <c r="G24" s="568"/>
      <c r="H24" s="600"/>
      <c r="I24" s="600"/>
      <c r="J24" s="600"/>
      <c r="K24" s="601"/>
      <c r="L24" s="600"/>
    </row>
    <row r="25" spans="2:17" x14ac:dyDescent="0.35">
      <c r="B25" s="563"/>
      <c r="C25" s="563"/>
      <c r="D25" s="563"/>
      <c r="E25" s="563"/>
      <c r="F25" s="763"/>
      <c r="G25" s="563"/>
      <c r="H25" s="556"/>
      <c r="I25" s="556"/>
      <c r="J25" s="556"/>
      <c r="K25" s="592"/>
      <c r="L25" s="602"/>
    </row>
    <row r="26" spans="2:17" ht="16" thickBot="1" x14ac:dyDescent="0.4">
      <c r="B26" s="563"/>
      <c r="C26" s="563"/>
      <c r="D26" s="563"/>
      <c r="E26" s="563"/>
      <c r="F26" s="764"/>
      <c r="G26" s="563"/>
      <c r="H26" s="556"/>
      <c r="I26" s="556"/>
      <c r="J26" s="556"/>
      <c r="K26" s="592"/>
      <c r="L26" s="602"/>
    </row>
    <row r="27" spans="2:17" x14ac:dyDescent="0.35">
      <c r="B27" s="563"/>
      <c r="C27" s="563"/>
      <c r="D27" s="610"/>
      <c r="E27" s="610"/>
      <c r="F27" s="610"/>
      <c r="G27" s="610"/>
      <c r="H27" s="556"/>
      <c r="I27" s="556"/>
      <c r="J27" s="602"/>
      <c r="K27" s="592"/>
      <c r="L27" s="602"/>
    </row>
    <row r="28" spans="2:17" x14ac:dyDescent="0.35">
      <c r="B28" s="563"/>
      <c r="C28" s="563"/>
      <c r="D28" s="563"/>
      <c r="E28" s="563"/>
      <c r="F28" s="563"/>
      <c r="G28" s="563"/>
      <c r="H28" s="556"/>
      <c r="I28" s="556"/>
      <c r="J28" s="556"/>
      <c r="K28" s="592"/>
      <c r="L28" s="602"/>
    </row>
    <row r="29" spans="2:17" x14ac:dyDescent="0.35">
      <c r="B29" s="568"/>
      <c r="C29" s="568"/>
      <c r="D29" s="568"/>
      <c r="E29" s="568"/>
      <c r="F29" s="568"/>
      <c r="G29" s="568"/>
      <c r="H29" s="600"/>
      <c r="I29" s="600"/>
      <c r="J29" s="600"/>
      <c r="K29" s="590"/>
      <c r="L29" s="603"/>
    </row>
    <row r="35" spans="2:10" x14ac:dyDescent="0.35">
      <c r="D35" s="759"/>
      <c r="E35" s="514"/>
      <c r="F35" s="759"/>
      <c r="G35" s="514"/>
    </row>
    <row r="37" spans="2:10" x14ac:dyDescent="0.35">
      <c r="B37" s="574"/>
      <c r="C37" s="574"/>
      <c r="D37" s="574"/>
      <c r="E37" s="574"/>
      <c r="F37" s="574"/>
      <c r="G37" s="574"/>
      <c r="H37" s="589"/>
      <c r="I37" s="604"/>
      <c r="J37" s="589"/>
    </row>
    <row r="38" spans="2:10" x14ac:dyDescent="0.35">
      <c r="B38" s="581"/>
      <c r="C38" s="581"/>
      <c r="D38" s="575"/>
      <c r="E38" s="575"/>
      <c r="F38" s="575"/>
      <c r="G38" s="575"/>
      <c r="H38" s="575"/>
      <c r="I38" s="502"/>
      <c r="J38" s="760"/>
    </row>
    <row r="39" spans="2:10" x14ac:dyDescent="0.35">
      <c r="B39" s="581"/>
      <c r="C39" s="581"/>
      <c r="D39" s="605"/>
      <c r="E39" s="605"/>
      <c r="F39" s="605"/>
      <c r="G39" s="605"/>
      <c r="H39" s="575"/>
      <c r="I39" s="502"/>
      <c r="J39" s="760"/>
    </row>
    <row r="40" spans="2:10" x14ac:dyDescent="0.35">
      <c r="B40" s="594"/>
      <c r="C40" s="594"/>
      <c r="D40" s="606"/>
      <c r="E40" s="606"/>
      <c r="F40" s="606"/>
      <c r="G40" s="606"/>
      <c r="H40" s="582"/>
      <c r="I40" s="511"/>
      <c r="J40" s="761"/>
    </row>
    <row r="41" spans="2:10" x14ac:dyDescent="0.35">
      <c r="B41" s="594"/>
      <c r="C41" s="594"/>
      <c r="D41" s="606"/>
      <c r="E41" s="606"/>
      <c r="F41" s="606"/>
      <c r="G41" s="606"/>
      <c r="H41" s="582"/>
      <c r="I41" s="511"/>
      <c r="J41" s="761"/>
    </row>
    <row r="42" spans="2:10" x14ac:dyDescent="0.35">
      <c r="B42" s="594"/>
      <c r="C42" s="594"/>
      <c r="D42" s="606"/>
      <c r="E42" s="606"/>
      <c r="F42" s="606"/>
      <c r="G42" s="606"/>
      <c r="H42" s="582"/>
      <c r="I42" s="511"/>
      <c r="J42" s="761"/>
    </row>
    <row r="43" spans="2:10" x14ac:dyDescent="0.35">
      <c r="B43" s="607"/>
      <c r="C43" s="607"/>
      <c r="D43" s="606"/>
      <c r="E43" s="606"/>
      <c r="F43" s="606"/>
      <c r="G43" s="606"/>
      <c r="H43" s="582"/>
      <c r="I43" s="511"/>
      <c r="J43" s="761"/>
    </row>
  </sheetData>
  <mergeCells count="1">
    <mergeCell ref="B2:J2"/>
  </mergeCells>
  <pageMargins left="0.7" right="0.7" top="0.75" bottom="0.75" header="0.3" footer="0.3"/>
  <pageSetup paperSize="9" orientation="landscape" r:id="rId1"/>
  <ignoredErrors>
    <ignoredError sqref="H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38DD5"/>
    <pageSetUpPr fitToPage="1"/>
  </sheetPr>
  <dimension ref="B2:J52"/>
  <sheetViews>
    <sheetView workbookViewId="0">
      <selection activeCell="F21" sqref="F21"/>
    </sheetView>
  </sheetViews>
  <sheetFormatPr baseColWidth="10" defaultColWidth="11" defaultRowHeight="15.5" x14ac:dyDescent="0.35"/>
  <cols>
    <col min="1" max="1" width="11" style="510"/>
    <col min="2" max="2" width="44.08203125" style="510" bestFit="1" customWidth="1"/>
    <col min="3" max="3" width="0.83203125" style="510" customWidth="1"/>
    <col min="4" max="4" width="13.08203125" style="510" customWidth="1"/>
    <col min="5" max="5" width="0.83203125" style="510" customWidth="1"/>
    <col min="6" max="6" width="13.08203125" style="510" customWidth="1"/>
    <col min="7" max="7" width="0.83203125" style="510" customWidth="1"/>
    <col min="8" max="8" width="13.08203125" style="510" customWidth="1"/>
    <col min="9" max="9" width="0.83203125" style="510" customWidth="1"/>
    <col min="10" max="10" width="13.08203125" style="510" customWidth="1"/>
    <col min="11" max="16384" width="11" style="510"/>
  </cols>
  <sheetData>
    <row r="2" spans="2:10" ht="17.5" x14ac:dyDescent="0.35">
      <c r="B2" s="929" t="s">
        <v>571</v>
      </c>
      <c r="C2" s="929"/>
      <c r="D2" s="929"/>
      <c r="E2" s="929"/>
      <c r="F2" s="929"/>
      <c r="G2" s="929"/>
      <c r="H2" s="929"/>
      <c r="I2" s="929"/>
      <c r="J2" s="929"/>
    </row>
    <row r="3" spans="2:10" x14ac:dyDescent="0.35">
      <c r="B3" s="628"/>
      <c r="C3" s="628"/>
      <c r="D3" s="628"/>
      <c r="E3" s="628"/>
      <c r="F3" s="628"/>
      <c r="G3" s="629"/>
      <c r="H3" s="629"/>
      <c r="I3" s="629"/>
    </row>
    <row r="4" spans="2:10" ht="48" customHeight="1" x14ac:dyDescent="0.35">
      <c r="B4" s="704" t="s">
        <v>300</v>
      </c>
      <c r="C4" s="630"/>
      <c r="D4" s="753" t="s">
        <v>647</v>
      </c>
      <c r="E4" s="754"/>
      <c r="F4" s="753" t="s">
        <v>631</v>
      </c>
      <c r="G4" s="754"/>
      <c r="H4" s="753" t="s">
        <v>554</v>
      </c>
      <c r="I4" s="754"/>
      <c r="J4" s="753" t="s">
        <v>301</v>
      </c>
    </row>
    <row r="5" spans="2:10" x14ac:dyDescent="0.35">
      <c r="B5" s="628"/>
      <c r="C5" s="628"/>
      <c r="D5" s="628"/>
      <c r="E5" s="628"/>
      <c r="F5" s="628"/>
      <c r="G5" s="628"/>
      <c r="H5" s="628"/>
      <c r="I5" s="628"/>
      <c r="J5" s="628"/>
    </row>
    <row r="6" spans="2:10" x14ac:dyDescent="0.35">
      <c r="B6" s="644" t="s">
        <v>227</v>
      </c>
      <c r="C6" s="633"/>
      <c r="D6" s="822">
        <f>+D7+D8</f>
        <v>340140</v>
      </c>
      <c r="E6" s="636"/>
      <c r="F6" s="648">
        <f>+F7+F8</f>
        <v>439744</v>
      </c>
      <c r="G6" s="636"/>
      <c r="H6" s="646">
        <f>D6-F6</f>
        <v>-99604</v>
      </c>
      <c r="I6" s="637"/>
      <c r="J6" s="647">
        <f>(D6-F6)/F6</f>
        <v>-0.22650451171590744</v>
      </c>
    </row>
    <row r="7" spans="2:10" x14ac:dyDescent="0.35">
      <c r="B7" s="649" t="s">
        <v>85</v>
      </c>
      <c r="C7" s="631"/>
      <c r="D7" s="755">
        <v>267946</v>
      </c>
      <c r="E7" s="640"/>
      <c r="F7" s="640">
        <v>343573</v>
      </c>
      <c r="G7" s="640"/>
      <c r="H7" s="641">
        <f>D7-F7</f>
        <v>-75627</v>
      </c>
      <c r="I7" s="641"/>
      <c r="J7" s="642">
        <f>(D7-F7)/F7</f>
        <v>-0.22011915953814765</v>
      </c>
    </row>
    <row r="8" spans="2:10" x14ac:dyDescent="0.35">
      <c r="B8" s="649" t="s">
        <v>86</v>
      </c>
      <c r="C8" s="631"/>
      <c r="D8" s="755">
        <v>72194</v>
      </c>
      <c r="E8" s="755"/>
      <c r="F8" s="755">
        <v>96171</v>
      </c>
      <c r="G8" s="640"/>
      <c r="H8" s="641">
        <f>D8-F8</f>
        <v>-23977</v>
      </c>
      <c r="I8" s="641"/>
      <c r="J8" s="642">
        <f>(D8-F8)/F8</f>
        <v>-0.24931632196816089</v>
      </c>
    </row>
    <row r="9" spans="2:10" x14ac:dyDescent="0.35">
      <c r="B9" s="628"/>
      <c r="C9" s="631"/>
      <c r="D9" s="823"/>
      <c r="E9" s="639"/>
      <c r="F9" s="639"/>
      <c r="G9" s="639"/>
      <c r="H9" s="637"/>
      <c r="I9" s="637"/>
      <c r="J9" s="638"/>
    </row>
    <row r="10" spans="2:10" x14ac:dyDescent="0.35">
      <c r="B10" s="644" t="s">
        <v>228</v>
      </c>
      <c r="C10" s="634"/>
      <c r="D10" s="799">
        <f>D11+D12</f>
        <v>182694</v>
      </c>
      <c r="E10" s="643"/>
      <c r="F10" s="645">
        <f>F11+F12</f>
        <v>180588</v>
      </c>
      <c r="G10" s="643"/>
      <c r="H10" s="646">
        <f>D10-F10</f>
        <v>2106</v>
      </c>
      <c r="I10" s="637"/>
      <c r="J10" s="647">
        <f>(D10-F10)/F10</f>
        <v>1.1661904445478105E-2</v>
      </c>
    </row>
    <row r="11" spans="2:10" x14ac:dyDescent="0.35">
      <c r="B11" s="649" t="s">
        <v>229</v>
      </c>
      <c r="C11" s="631"/>
      <c r="D11" s="755">
        <v>84296</v>
      </c>
      <c r="E11" s="640"/>
      <c r="F11" s="640">
        <v>83127</v>
      </c>
      <c r="G11" s="640"/>
      <c r="H11" s="641">
        <f>D11-F11</f>
        <v>1169</v>
      </c>
      <c r="I11" s="641"/>
      <c r="J11" s="642">
        <f>(D11-F11)/F11</f>
        <v>1.4062819541183972E-2</v>
      </c>
    </row>
    <row r="12" spans="2:10" x14ac:dyDescent="0.35">
      <c r="B12" s="649" t="s">
        <v>224</v>
      </c>
      <c r="C12" s="631"/>
      <c r="D12" s="755">
        <v>98398</v>
      </c>
      <c r="E12" s="640"/>
      <c r="F12" s="640">
        <v>97461</v>
      </c>
      <c r="G12" s="640"/>
      <c r="H12" s="641">
        <f>D12-F12</f>
        <v>937</v>
      </c>
      <c r="I12" s="641"/>
      <c r="J12" s="642">
        <f>(D12-F12)/F12</f>
        <v>9.6141020510768418E-3</v>
      </c>
    </row>
    <row r="13" spans="2:10" x14ac:dyDescent="0.35">
      <c r="B13" s="649"/>
      <c r="C13" s="631"/>
      <c r="D13" s="823"/>
      <c r="E13" s="639"/>
      <c r="F13" s="639"/>
      <c r="G13" s="639"/>
      <c r="H13" s="637"/>
      <c r="I13" s="637"/>
      <c r="J13" s="638"/>
    </row>
    <row r="14" spans="2:10" x14ac:dyDescent="0.35">
      <c r="B14" s="644" t="s">
        <v>230</v>
      </c>
      <c r="C14" s="634"/>
      <c r="D14" s="799">
        <f>+D15</f>
        <v>4683</v>
      </c>
      <c r="E14" s="643"/>
      <c r="F14" s="645">
        <v>7837</v>
      </c>
      <c r="G14" s="643"/>
      <c r="H14" s="646">
        <f>D14-F14</f>
        <v>-3154</v>
      </c>
      <c r="I14" s="637"/>
      <c r="J14" s="647">
        <f>(D14-F14)/F14</f>
        <v>-0.40244991706009953</v>
      </c>
    </row>
    <row r="15" spans="2:10" x14ac:dyDescent="0.35">
      <c r="B15" s="649" t="s">
        <v>635</v>
      </c>
      <c r="C15" s="631"/>
      <c r="D15" s="755">
        <v>4683</v>
      </c>
      <c r="E15" s="640"/>
      <c r="F15" s="640">
        <v>7837</v>
      </c>
      <c r="G15" s="640"/>
      <c r="H15" s="641">
        <f>D15-F15</f>
        <v>-3154</v>
      </c>
      <c r="I15" s="641"/>
      <c r="J15" s="642">
        <f>(D15-F15)/F15</f>
        <v>-0.40244991706009953</v>
      </c>
    </row>
    <row r="16" spans="2:10" x14ac:dyDescent="0.35">
      <c r="B16" s="628"/>
      <c r="C16" s="631"/>
      <c r="D16" s="824"/>
      <c r="E16" s="612"/>
      <c r="F16" s="612"/>
      <c r="G16" s="612"/>
      <c r="H16" s="637"/>
      <c r="I16" s="637"/>
      <c r="J16" s="638"/>
    </row>
    <row r="17" spans="2:10" s="688" customFormat="1" ht="18" x14ac:dyDescent="0.4">
      <c r="B17" s="707" t="s">
        <v>549</v>
      </c>
      <c r="C17" s="708"/>
      <c r="D17" s="825">
        <f>D6+D10+D14</f>
        <v>527517</v>
      </c>
      <c r="E17" s="710"/>
      <c r="F17" s="709">
        <f>F6+F10+F14</f>
        <v>628169</v>
      </c>
      <c r="G17" s="710"/>
      <c r="H17" s="711">
        <f>D17-F17</f>
        <v>-100652</v>
      </c>
      <c r="I17" s="712"/>
      <c r="J17" s="713">
        <f>(D17-F17)/F17</f>
        <v>-0.16023076592445665</v>
      </c>
    </row>
    <row r="18" spans="2:10" x14ac:dyDescent="0.35">
      <c r="B18" s="628"/>
      <c r="C18" s="628"/>
      <c r="D18" s="632"/>
      <c r="E18" s="632"/>
      <c r="F18" s="632"/>
      <c r="G18" s="628"/>
    </row>
    <row r="19" spans="2:10" x14ac:dyDescent="0.35">
      <c r="B19" s="628"/>
      <c r="C19" s="628"/>
      <c r="D19" s="628"/>
      <c r="E19" s="628"/>
      <c r="F19" s="628"/>
      <c r="G19" s="628"/>
    </row>
    <row r="52" spans="4:6" x14ac:dyDescent="0.35">
      <c r="D52" s="635"/>
      <c r="E52" s="635"/>
      <c r="F52" s="635"/>
    </row>
  </sheetData>
  <mergeCells count="1">
    <mergeCell ref="B2:J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38DD5"/>
    <pageSetUpPr fitToPage="1"/>
  </sheetPr>
  <dimension ref="B2:AA96"/>
  <sheetViews>
    <sheetView tabSelected="1" zoomScaleNormal="100" workbookViewId="0">
      <selection activeCell="Q18" sqref="Q18"/>
    </sheetView>
  </sheetViews>
  <sheetFormatPr baseColWidth="10" defaultColWidth="8" defaultRowHeight="15.5" x14ac:dyDescent="0.35"/>
  <cols>
    <col min="1" max="1" width="8" style="618"/>
    <col min="2" max="2" width="20.33203125" style="618" customWidth="1"/>
    <col min="3" max="3" width="0.83203125" style="618" customWidth="1"/>
    <col min="4" max="4" width="10.58203125" style="618" customWidth="1"/>
    <col min="5" max="5" width="8.58203125" style="618" customWidth="1"/>
    <col min="6" max="6" width="0.83203125" style="618" customWidth="1"/>
    <col min="7" max="7" width="10.58203125" style="618" customWidth="1"/>
    <col min="8" max="8" width="8.58203125" style="618" customWidth="1"/>
    <col min="9" max="9" width="0.83203125" style="618" customWidth="1"/>
    <col min="10" max="10" width="10.58203125" style="618" customWidth="1"/>
    <col min="11" max="11" width="8.58203125" style="618" customWidth="1"/>
    <col min="12" max="12" width="0.83203125" style="618" customWidth="1"/>
    <col min="13" max="13" width="10.58203125" style="618" customWidth="1"/>
    <col min="14" max="14" width="8.58203125" style="618" customWidth="1"/>
    <col min="15" max="15" width="0.83203125" style="618" customWidth="1"/>
    <col min="16" max="16" width="10.58203125" style="618" customWidth="1"/>
    <col min="17" max="17" width="8.58203125" style="618" customWidth="1"/>
    <col min="18" max="18" width="0.83203125" style="618" customWidth="1"/>
    <col min="19" max="19" width="10.58203125" style="618" customWidth="1"/>
    <col min="20" max="20" width="8.58203125" style="618" customWidth="1"/>
    <col min="21" max="21" width="8" style="618"/>
    <col min="22" max="22" width="8.75" style="618" bestFit="1" customWidth="1"/>
    <col min="23" max="23" width="8" style="618"/>
    <col min="24" max="24" width="8.75" style="618" bestFit="1" customWidth="1"/>
    <col min="25" max="16384" width="8" style="618"/>
  </cols>
  <sheetData>
    <row r="2" spans="2:24" ht="15.75" customHeight="1" x14ac:dyDescent="0.35">
      <c r="B2" s="873"/>
      <c r="C2" s="873"/>
      <c r="D2" s="930" t="s">
        <v>569</v>
      </c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  <c r="U2" s="903"/>
      <c r="V2" s="903"/>
      <c r="W2" s="903"/>
      <c r="X2" s="903"/>
    </row>
    <row r="3" spans="2:24" ht="4.5" customHeight="1" x14ac:dyDescent="0.35">
      <c r="B3" s="873"/>
      <c r="C3" s="873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1"/>
      <c r="V3" s="868"/>
      <c r="W3" s="868"/>
      <c r="X3" s="868"/>
    </row>
    <row r="4" spans="2:24" ht="16.5" customHeight="1" x14ac:dyDescent="0.35">
      <c r="B4" s="878" t="s">
        <v>570</v>
      </c>
      <c r="C4" s="873"/>
      <c r="D4" s="931" t="s">
        <v>647</v>
      </c>
      <c r="E4" s="931"/>
      <c r="F4" s="931"/>
      <c r="G4" s="931"/>
      <c r="H4" s="931"/>
      <c r="I4" s="931"/>
      <c r="J4" s="931"/>
      <c r="K4" s="931"/>
      <c r="L4" s="900"/>
      <c r="M4" s="931" t="s">
        <v>631</v>
      </c>
      <c r="N4" s="931"/>
      <c r="O4" s="931"/>
      <c r="P4" s="931"/>
      <c r="Q4" s="931"/>
      <c r="R4" s="931"/>
      <c r="S4" s="931"/>
      <c r="T4" s="931"/>
      <c r="U4" s="872"/>
      <c r="V4" s="868"/>
      <c r="W4" s="868"/>
      <c r="X4" s="868"/>
    </row>
    <row r="5" spans="2:24" ht="7.5" customHeight="1" x14ac:dyDescent="0.35">
      <c r="B5" s="873"/>
      <c r="C5" s="873"/>
      <c r="D5" s="900"/>
      <c r="E5" s="900"/>
      <c r="F5" s="900"/>
      <c r="G5" s="900"/>
      <c r="H5" s="900"/>
      <c r="I5" s="900"/>
      <c r="J5" s="900"/>
      <c r="K5" s="900"/>
      <c r="L5" s="900"/>
      <c r="M5" s="900"/>
      <c r="N5" s="900"/>
      <c r="O5" s="900"/>
      <c r="P5" s="900"/>
      <c r="Q5" s="900"/>
      <c r="R5" s="900"/>
      <c r="S5" s="900"/>
      <c r="T5" s="900"/>
      <c r="U5" s="872"/>
      <c r="V5" s="868"/>
      <c r="W5" s="868"/>
      <c r="X5" s="868"/>
    </row>
    <row r="6" spans="2:24" ht="30" x14ac:dyDescent="0.35">
      <c r="B6" s="873"/>
      <c r="C6" s="873"/>
      <c r="D6" s="899" t="s">
        <v>0</v>
      </c>
      <c r="E6" s="899" t="s">
        <v>561</v>
      </c>
      <c r="F6" s="872"/>
      <c r="G6" s="899" t="s">
        <v>541</v>
      </c>
      <c r="H6" s="899" t="s">
        <v>561</v>
      </c>
      <c r="I6" s="900"/>
      <c r="J6" s="899" t="s">
        <v>542</v>
      </c>
      <c r="K6" s="899" t="s">
        <v>561</v>
      </c>
      <c r="L6" s="872"/>
      <c r="M6" s="899" t="s">
        <v>0</v>
      </c>
      <c r="N6" s="899" t="s">
        <v>561</v>
      </c>
      <c r="O6" s="872"/>
      <c r="P6" s="899" t="s">
        <v>541</v>
      </c>
      <c r="Q6" s="899" t="s">
        <v>561</v>
      </c>
      <c r="R6" s="900"/>
      <c r="S6" s="899" t="s">
        <v>542</v>
      </c>
      <c r="T6" s="899" t="s">
        <v>561</v>
      </c>
      <c r="U6" s="872"/>
      <c r="V6" s="868"/>
      <c r="W6" s="868"/>
      <c r="X6" s="868"/>
    </row>
    <row r="7" spans="2:24" x14ac:dyDescent="0.35">
      <c r="B7" s="873"/>
      <c r="C7" s="873"/>
      <c r="D7" s="873"/>
      <c r="E7" s="873"/>
      <c r="F7" s="873"/>
      <c r="G7" s="873"/>
      <c r="H7" s="873"/>
      <c r="I7" s="873"/>
      <c r="J7" s="873"/>
      <c r="K7" s="873"/>
      <c r="L7" s="873"/>
      <c r="M7" s="873"/>
      <c r="N7" s="873"/>
      <c r="O7" s="873"/>
      <c r="P7" s="873"/>
      <c r="Q7" s="873"/>
      <c r="R7" s="873"/>
      <c r="S7" s="873"/>
      <c r="T7" s="873"/>
      <c r="U7" s="873"/>
      <c r="V7" s="868"/>
      <c r="W7" s="868"/>
      <c r="X7" s="868"/>
    </row>
    <row r="8" spans="2:24" x14ac:dyDescent="0.35">
      <c r="B8" s="873"/>
      <c r="C8" s="873"/>
      <c r="D8" s="873"/>
      <c r="E8" s="873"/>
      <c r="F8" s="873"/>
      <c r="G8" s="873"/>
      <c r="H8" s="873"/>
      <c r="I8" s="873"/>
      <c r="J8" s="873"/>
      <c r="K8" s="873"/>
      <c r="L8" s="873"/>
      <c r="M8" s="873"/>
      <c r="N8" s="873"/>
      <c r="O8" s="873"/>
      <c r="P8" s="873"/>
      <c r="Q8" s="873"/>
      <c r="R8" s="873"/>
      <c r="S8" s="873"/>
      <c r="T8" s="873"/>
      <c r="U8" s="873"/>
      <c r="V8" s="868"/>
      <c r="W8" s="868"/>
      <c r="X8" s="868"/>
    </row>
    <row r="9" spans="2:24" x14ac:dyDescent="0.35">
      <c r="B9" s="873" t="s">
        <v>655</v>
      </c>
      <c r="C9" s="873"/>
      <c r="D9" s="914">
        <v>28</v>
      </c>
      <c r="E9" s="915">
        <f>+D9/D$18*100</f>
        <v>2.1588280647648417</v>
      </c>
      <c r="F9" s="873"/>
      <c r="G9" s="914">
        <v>22</v>
      </c>
      <c r="H9" s="915">
        <f>+G9/$D9*100</f>
        <v>78.571428571428569</v>
      </c>
      <c r="I9" s="873"/>
      <c r="J9" s="914">
        <v>6</v>
      </c>
      <c r="K9" s="915">
        <f>+J9/$D9*100</f>
        <v>21.428571428571427</v>
      </c>
      <c r="L9" s="873"/>
      <c r="M9" s="914">
        <v>29</v>
      </c>
      <c r="N9" s="915">
        <f>+M9/M$18*100</f>
        <v>2.2359290670778722</v>
      </c>
      <c r="O9" s="873"/>
      <c r="P9" s="914">
        <v>23</v>
      </c>
      <c r="Q9" s="915">
        <f>+P9/$M9*100</f>
        <v>79.310344827586206</v>
      </c>
      <c r="R9" s="873"/>
      <c r="S9" s="914">
        <v>6</v>
      </c>
      <c r="T9" s="915">
        <f>+S9/$M9*100</f>
        <v>20.689655172413794</v>
      </c>
      <c r="U9" s="873"/>
      <c r="V9" s="868"/>
      <c r="W9" s="868"/>
      <c r="X9" s="868"/>
    </row>
    <row r="10" spans="2:24" x14ac:dyDescent="0.35">
      <c r="B10" s="873" t="s">
        <v>656</v>
      </c>
      <c r="C10" s="873"/>
      <c r="D10" s="914">
        <v>62</v>
      </c>
      <c r="E10" s="915">
        <f t="shared" ref="E10:E16" si="0">+D10/D$18*100</f>
        <v>4.7802621434078647</v>
      </c>
      <c r="F10" s="873"/>
      <c r="G10" s="914">
        <v>46</v>
      </c>
      <c r="H10" s="915">
        <f>+G10/$D10*100</f>
        <v>74.193548387096769</v>
      </c>
      <c r="I10" s="873"/>
      <c r="J10" s="914">
        <v>16</v>
      </c>
      <c r="K10" s="915">
        <f t="shared" ref="K10:K18" si="1">+J10/$D10*100</f>
        <v>25.806451612903224</v>
      </c>
      <c r="L10" s="873"/>
      <c r="M10" s="914">
        <v>63</v>
      </c>
      <c r="N10" s="915">
        <f t="shared" ref="N10:N16" si="2">+M10/M$18*100</f>
        <v>4.8573631457208943</v>
      </c>
      <c r="O10" s="873"/>
      <c r="P10" s="914">
        <v>47</v>
      </c>
      <c r="Q10" s="915">
        <f t="shared" ref="Q10:Q18" si="3">+P10/$M10*100</f>
        <v>74.603174603174608</v>
      </c>
      <c r="R10" s="873"/>
      <c r="S10" s="914">
        <v>16</v>
      </c>
      <c r="T10" s="915">
        <f t="shared" ref="T10:T18" si="4">+S10/$M10*100</f>
        <v>25.396825396825395</v>
      </c>
      <c r="U10" s="873"/>
      <c r="V10" s="868"/>
      <c r="W10" s="868"/>
      <c r="X10" s="868"/>
    </row>
    <row r="11" spans="2:24" x14ac:dyDescent="0.35">
      <c r="B11" s="873" t="s">
        <v>543</v>
      </c>
      <c r="C11" s="873"/>
      <c r="D11" s="914">
        <v>227</v>
      </c>
      <c r="E11" s="915">
        <f t="shared" si="0"/>
        <v>17.501927525057827</v>
      </c>
      <c r="F11" s="873"/>
      <c r="G11" s="914">
        <v>150</v>
      </c>
      <c r="H11" s="915">
        <f t="shared" ref="H11:H18" si="5">+G11/$D11*100</f>
        <v>66.079295154185019</v>
      </c>
      <c r="I11" s="873"/>
      <c r="J11" s="914">
        <v>77</v>
      </c>
      <c r="K11" s="915">
        <f t="shared" si="1"/>
        <v>33.920704845814981</v>
      </c>
      <c r="L11" s="911">
        <v>193.8112519163966</v>
      </c>
      <c r="M11" s="914">
        <v>228</v>
      </c>
      <c r="N11" s="915">
        <f t="shared" si="2"/>
        <v>17.579028527370856</v>
      </c>
      <c r="O11" s="873"/>
      <c r="P11" s="914">
        <v>153</v>
      </c>
      <c r="Q11" s="915">
        <f t="shared" si="3"/>
        <v>67.10526315789474</v>
      </c>
      <c r="R11" s="873"/>
      <c r="S11" s="914">
        <v>75</v>
      </c>
      <c r="T11" s="915">
        <f t="shared" si="4"/>
        <v>32.894736842105267</v>
      </c>
      <c r="U11" s="873"/>
      <c r="V11" s="868"/>
      <c r="W11" s="868"/>
      <c r="X11" s="868"/>
    </row>
    <row r="12" spans="2:24" s="720" customFormat="1" ht="18" x14ac:dyDescent="0.4">
      <c r="B12" s="873" t="s">
        <v>657</v>
      </c>
      <c r="C12" s="873"/>
      <c r="D12" s="914">
        <v>101</v>
      </c>
      <c r="E12" s="915">
        <f t="shared" si="0"/>
        <v>7.7872012336160363</v>
      </c>
      <c r="F12" s="873"/>
      <c r="G12" s="914">
        <v>83</v>
      </c>
      <c r="H12" s="915">
        <f t="shared" si="5"/>
        <v>82.178217821782169</v>
      </c>
      <c r="I12" s="873"/>
      <c r="J12" s="914">
        <v>18</v>
      </c>
      <c r="K12" s="915">
        <f t="shared" si="1"/>
        <v>17.82178217821782</v>
      </c>
      <c r="L12" s="911">
        <v>228.85991569453975</v>
      </c>
      <c r="M12" s="914">
        <v>103</v>
      </c>
      <c r="N12" s="915">
        <f t="shared" si="2"/>
        <v>7.9414032382420965</v>
      </c>
      <c r="O12" s="873"/>
      <c r="P12" s="914">
        <v>85</v>
      </c>
      <c r="Q12" s="915">
        <f t="shared" si="3"/>
        <v>82.524271844660191</v>
      </c>
      <c r="R12" s="873"/>
      <c r="S12" s="914">
        <v>18</v>
      </c>
      <c r="T12" s="915">
        <f t="shared" si="4"/>
        <v>17.475728155339805</v>
      </c>
      <c r="U12" s="873"/>
      <c r="V12" s="868"/>
      <c r="W12" s="868"/>
      <c r="X12" s="868"/>
    </row>
    <row r="13" spans="2:24" x14ac:dyDescent="0.35">
      <c r="B13" s="873" t="s">
        <v>658</v>
      </c>
      <c r="C13" s="873"/>
      <c r="D13" s="914">
        <v>171</v>
      </c>
      <c r="E13" s="915">
        <f t="shared" si="0"/>
        <v>13.184271395528141</v>
      </c>
      <c r="F13" s="873"/>
      <c r="G13" s="914">
        <v>158</v>
      </c>
      <c r="H13" s="915">
        <f t="shared" si="5"/>
        <v>92.397660818713447</v>
      </c>
      <c r="I13" s="873"/>
      <c r="J13" s="914">
        <v>13</v>
      </c>
      <c r="K13" s="915">
        <f t="shared" si="1"/>
        <v>7.6023391812865491</v>
      </c>
      <c r="L13" s="911">
        <v>57.662186655723126</v>
      </c>
      <c r="M13" s="914">
        <v>175</v>
      </c>
      <c r="N13" s="915">
        <f t="shared" si="2"/>
        <v>13.492675404780263</v>
      </c>
      <c r="O13" s="873"/>
      <c r="P13" s="914">
        <v>161</v>
      </c>
      <c r="Q13" s="915">
        <f t="shared" si="3"/>
        <v>92</v>
      </c>
      <c r="R13" s="873"/>
      <c r="S13" s="914">
        <v>14</v>
      </c>
      <c r="T13" s="915">
        <f t="shared" si="4"/>
        <v>8</v>
      </c>
      <c r="U13" s="873"/>
      <c r="V13" s="868"/>
      <c r="W13" s="868"/>
      <c r="X13" s="868"/>
    </row>
    <row r="14" spans="2:24" x14ac:dyDescent="0.35">
      <c r="B14" s="873" t="s">
        <v>659</v>
      </c>
      <c r="C14" s="873"/>
      <c r="D14" s="914">
        <v>533</v>
      </c>
      <c r="E14" s="915">
        <f t="shared" si="0"/>
        <v>41.094834232845031</v>
      </c>
      <c r="F14" s="911"/>
      <c r="G14" s="914">
        <v>465</v>
      </c>
      <c r="H14" s="915">
        <f t="shared" si="5"/>
        <v>87.242026266416502</v>
      </c>
      <c r="I14" s="911"/>
      <c r="J14" s="914">
        <v>68</v>
      </c>
      <c r="K14" s="915">
        <f t="shared" si="1"/>
        <v>12.757973733583489</v>
      </c>
      <c r="L14" s="911">
        <v>31.045200623748187</v>
      </c>
      <c r="M14" s="914">
        <v>533</v>
      </c>
      <c r="N14" s="915">
        <f t="shared" si="2"/>
        <v>41.094834232845031</v>
      </c>
      <c r="O14" s="902"/>
      <c r="P14" s="914">
        <v>468</v>
      </c>
      <c r="Q14" s="915">
        <f t="shared" si="3"/>
        <v>87.804878048780495</v>
      </c>
      <c r="R14" s="902"/>
      <c r="S14" s="914">
        <v>65</v>
      </c>
      <c r="T14" s="915">
        <f t="shared" si="4"/>
        <v>12.195121951219512</v>
      </c>
      <c r="U14" s="876"/>
      <c r="V14" s="868"/>
      <c r="W14" s="868"/>
      <c r="X14" s="868"/>
    </row>
    <row r="15" spans="2:24" ht="15.75" customHeight="1" x14ac:dyDescent="0.35">
      <c r="B15" s="873" t="s">
        <v>660</v>
      </c>
      <c r="C15" s="873"/>
      <c r="D15" s="914">
        <v>148</v>
      </c>
      <c r="E15" s="915">
        <f t="shared" si="0"/>
        <v>11.410948342328449</v>
      </c>
      <c r="F15" s="911"/>
      <c r="G15" s="914">
        <v>139</v>
      </c>
      <c r="H15" s="915">
        <f t="shared" si="5"/>
        <v>93.918918918918919</v>
      </c>
      <c r="I15" s="911"/>
      <c r="J15" s="914">
        <v>9</v>
      </c>
      <c r="K15" s="915">
        <f t="shared" si="1"/>
        <v>6.0810810810810816</v>
      </c>
      <c r="L15" s="911">
        <v>53.291636230825425</v>
      </c>
      <c r="M15" s="914">
        <v>146</v>
      </c>
      <c r="N15" s="915">
        <f t="shared" si="2"/>
        <v>11.25674633770239</v>
      </c>
      <c r="O15" s="902"/>
      <c r="P15" s="914">
        <v>136</v>
      </c>
      <c r="Q15" s="915">
        <f t="shared" si="3"/>
        <v>93.150684931506845</v>
      </c>
      <c r="R15" s="902"/>
      <c r="S15" s="914">
        <v>10</v>
      </c>
      <c r="T15" s="915">
        <f t="shared" si="4"/>
        <v>6.8493150684931505</v>
      </c>
      <c r="U15" s="876"/>
      <c r="V15" s="868"/>
      <c r="W15" s="868"/>
      <c r="X15" s="868"/>
    </row>
    <row r="16" spans="2:24" x14ac:dyDescent="0.35">
      <c r="B16" s="873" t="s">
        <v>661</v>
      </c>
      <c r="C16" s="873"/>
      <c r="D16" s="914">
        <v>27</v>
      </c>
      <c r="E16" s="915">
        <f t="shared" si="0"/>
        <v>2.081727062451812</v>
      </c>
      <c r="F16" s="911"/>
      <c r="G16" s="914">
        <v>14</v>
      </c>
      <c r="H16" s="915">
        <f t="shared" si="5"/>
        <v>51.851851851851848</v>
      </c>
      <c r="I16" s="911"/>
      <c r="J16" s="914">
        <v>13</v>
      </c>
      <c r="K16" s="915">
        <f t="shared" si="1"/>
        <v>48.148148148148145</v>
      </c>
      <c r="L16" s="911">
        <v>2312.8943758573387</v>
      </c>
      <c r="M16" s="914">
        <v>20</v>
      </c>
      <c r="N16" s="915">
        <f t="shared" si="2"/>
        <v>1.5420200462606015</v>
      </c>
      <c r="O16" s="902"/>
      <c r="P16" s="914">
        <v>10</v>
      </c>
      <c r="Q16" s="915">
        <f t="shared" si="3"/>
        <v>50</v>
      </c>
      <c r="R16" s="902"/>
      <c r="S16" s="914">
        <v>10</v>
      </c>
      <c r="T16" s="915">
        <f t="shared" si="4"/>
        <v>50</v>
      </c>
      <c r="U16" s="876"/>
      <c r="V16" s="868"/>
      <c r="W16" s="868"/>
      <c r="X16" s="868"/>
    </row>
    <row r="17" spans="2:21" x14ac:dyDescent="0.35">
      <c r="B17" s="873"/>
      <c r="C17" s="873"/>
      <c r="D17" s="914"/>
      <c r="E17" s="914"/>
      <c r="F17" s="910"/>
      <c r="G17" s="910"/>
      <c r="H17" s="910"/>
      <c r="I17" s="910"/>
      <c r="J17" s="910"/>
      <c r="K17" s="910"/>
      <c r="L17" s="901"/>
      <c r="M17" s="901"/>
      <c r="N17" s="901"/>
      <c r="O17" s="901"/>
      <c r="P17" s="901"/>
      <c r="Q17" s="901"/>
      <c r="R17" s="901"/>
      <c r="S17" s="901"/>
      <c r="T17" s="901"/>
      <c r="U17" s="876"/>
    </row>
    <row r="18" spans="2:21" ht="17.5" x14ac:dyDescent="0.35">
      <c r="B18" s="904" t="s">
        <v>549</v>
      </c>
      <c r="C18" s="905"/>
      <c r="D18" s="916">
        <f>SUM(D9:D17)</f>
        <v>1297</v>
      </c>
      <c r="E18" s="916">
        <v>100.00000000000001</v>
      </c>
      <c r="F18" s="912"/>
      <c r="G18" s="916">
        <v>1077</v>
      </c>
      <c r="H18" s="917">
        <f t="shared" si="5"/>
        <v>83.037779491133392</v>
      </c>
      <c r="I18" s="913"/>
      <c r="J18" s="916">
        <v>220</v>
      </c>
      <c r="K18" s="917">
        <f t="shared" si="1"/>
        <v>16.962220508866615</v>
      </c>
      <c r="L18" s="908"/>
      <c r="M18" s="916">
        <v>1297</v>
      </c>
      <c r="N18" s="916">
        <v>100.00000000000001</v>
      </c>
      <c r="O18" s="906"/>
      <c r="P18" s="916">
        <v>1083</v>
      </c>
      <c r="Q18" s="917">
        <f t="shared" si="3"/>
        <v>83.500385505011565</v>
      </c>
      <c r="R18" s="907"/>
      <c r="S18" s="916">
        <v>214</v>
      </c>
      <c r="T18" s="917">
        <f t="shared" si="4"/>
        <v>16.499614494988435</v>
      </c>
      <c r="U18" s="909"/>
    </row>
    <row r="19" spans="2:21" x14ac:dyDescent="0.35">
      <c r="B19" s="878"/>
      <c r="C19" s="878"/>
      <c r="D19" s="879"/>
      <c r="E19" s="879"/>
      <c r="F19" s="879"/>
      <c r="G19" s="879"/>
      <c r="H19" s="879"/>
      <c r="I19" s="879"/>
      <c r="J19" s="880"/>
      <c r="K19" s="880"/>
      <c r="L19" s="880"/>
      <c r="M19" s="877"/>
      <c r="N19" s="879"/>
      <c r="O19" s="879"/>
      <c r="P19" s="879"/>
      <c r="Q19" s="879"/>
      <c r="R19" s="879"/>
      <c r="S19" s="879"/>
      <c r="T19" s="880"/>
      <c r="U19" s="880"/>
    </row>
    <row r="20" spans="2:21" x14ac:dyDescent="0.35">
      <c r="B20" s="878"/>
      <c r="C20" s="878"/>
      <c r="D20" s="879"/>
      <c r="E20" s="879"/>
      <c r="F20" s="879"/>
      <c r="G20" s="879"/>
      <c r="H20" s="879"/>
      <c r="I20" s="879"/>
      <c r="J20" s="880"/>
      <c r="K20" s="880"/>
      <c r="L20" s="880"/>
      <c r="M20" s="877"/>
      <c r="N20" s="879"/>
      <c r="O20" s="879"/>
      <c r="P20" s="879"/>
      <c r="Q20" s="879"/>
      <c r="R20" s="879"/>
      <c r="S20" s="879"/>
      <c r="T20" s="880"/>
      <c r="U20" s="880"/>
    </row>
    <row r="21" spans="2:21" x14ac:dyDescent="0.35">
      <c r="B21" s="873"/>
      <c r="C21" s="873"/>
      <c r="D21" s="932"/>
      <c r="E21" s="932"/>
      <c r="F21" s="932"/>
      <c r="G21" s="932"/>
      <c r="H21" s="932"/>
      <c r="I21" s="932"/>
      <c r="J21" s="932"/>
      <c r="K21" s="932"/>
      <c r="L21" s="932"/>
      <c r="M21" s="932"/>
      <c r="N21" s="932"/>
      <c r="O21" s="932"/>
      <c r="P21" s="932"/>
      <c r="Q21" s="932"/>
      <c r="R21" s="932"/>
      <c r="S21" s="932"/>
      <c r="T21" s="932"/>
      <c r="U21" s="871"/>
    </row>
    <row r="22" spans="2:21" x14ac:dyDescent="0.35">
      <c r="B22" s="873"/>
      <c r="C22" s="873"/>
      <c r="D22" s="933"/>
      <c r="E22" s="933"/>
      <c r="F22" s="933"/>
      <c r="G22" s="933"/>
      <c r="H22" s="933"/>
      <c r="I22" s="933"/>
      <c r="J22" s="933"/>
      <c r="K22" s="933"/>
      <c r="L22" s="883"/>
      <c r="M22" s="933"/>
      <c r="N22" s="933"/>
      <c r="O22" s="933"/>
      <c r="P22" s="933"/>
      <c r="Q22" s="933"/>
      <c r="R22" s="933"/>
      <c r="S22" s="933"/>
      <c r="T22" s="933"/>
      <c r="U22" s="868"/>
    </row>
    <row r="23" spans="2:21" x14ac:dyDescent="0.35">
      <c r="B23" s="873"/>
      <c r="C23" s="873"/>
      <c r="D23" s="878"/>
      <c r="E23" s="878"/>
      <c r="F23" s="878"/>
      <c r="G23" s="878"/>
      <c r="H23" s="878"/>
      <c r="I23" s="878"/>
      <c r="J23" s="878"/>
      <c r="K23" s="878"/>
      <c r="L23" s="878"/>
      <c r="M23" s="872"/>
      <c r="N23" s="872"/>
      <c r="O23" s="872"/>
      <c r="P23" s="872"/>
      <c r="Q23" s="872"/>
      <c r="R23" s="872"/>
      <c r="S23" s="872"/>
      <c r="T23" s="872"/>
      <c r="U23" s="868"/>
    </row>
    <row r="24" spans="2:21" x14ac:dyDescent="0.35"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873"/>
      <c r="P24" s="873"/>
      <c r="Q24" s="873"/>
      <c r="R24" s="873"/>
      <c r="S24" s="873"/>
      <c r="T24" s="873"/>
      <c r="U24" s="868"/>
    </row>
    <row r="25" spans="2:21" x14ac:dyDescent="0.35">
      <c r="B25" s="873"/>
      <c r="C25" s="873"/>
      <c r="D25" s="874"/>
      <c r="E25" s="874"/>
      <c r="F25" s="874"/>
      <c r="G25" s="874"/>
      <c r="H25" s="875"/>
      <c r="I25" s="875"/>
      <c r="J25" s="874"/>
      <c r="K25" s="875"/>
      <c r="L25" s="875"/>
      <c r="M25" s="874"/>
      <c r="N25" s="874"/>
      <c r="O25" s="874"/>
      <c r="P25" s="874"/>
      <c r="Q25" s="875"/>
      <c r="R25" s="875"/>
      <c r="S25" s="874"/>
      <c r="T25" s="875"/>
      <c r="U25" s="868"/>
    </row>
    <row r="26" spans="2:21" ht="16.5" customHeight="1" x14ac:dyDescent="0.35">
      <c r="B26" s="873"/>
      <c r="C26" s="873"/>
      <c r="D26" s="874"/>
      <c r="E26" s="874"/>
      <c r="F26" s="874"/>
      <c r="G26" s="874"/>
      <c r="H26" s="875"/>
      <c r="I26" s="875"/>
      <c r="J26" s="874"/>
      <c r="K26" s="875"/>
      <c r="L26" s="875"/>
      <c r="M26" s="874"/>
      <c r="N26" s="874"/>
      <c r="O26" s="874"/>
      <c r="P26" s="874"/>
      <c r="Q26" s="875"/>
      <c r="R26" s="875"/>
      <c r="S26" s="874"/>
      <c r="T26" s="875"/>
      <c r="U26" s="868"/>
    </row>
    <row r="27" spans="2:21" ht="16.5" customHeight="1" x14ac:dyDescent="0.35">
      <c r="B27" s="873"/>
      <c r="C27" s="873"/>
      <c r="D27" s="874"/>
      <c r="E27" s="874"/>
      <c r="F27" s="874"/>
      <c r="G27" s="874"/>
      <c r="H27" s="875"/>
      <c r="I27" s="875"/>
      <c r="J27" s="874"/>
      <c r="K27" s="875"/>
      <c r="L27" s="875"/>
      <c r="M27" s="874"/>
      <c r="N27" s="874"/>
      <c r="O27" s="874"/>
      <c r="P27" s="874"/>
      <c r="Q27" s="875"/>
      <c r="R27" s="875"/>
      <c r="S27" s="874"/>
      <c r="T27" s="875"/>
      <c r="U27" s="868"/>
    </row>
    <row r="28" spans="2:21" x14ac:dyDescent="0.35">
      <c r="B28" s="873"/>
      <c r="C28" s="873"/>
      <c r="D28" s="874"/>
      <c r="E28" s="874"/>
      <c r="F28" s="874"/>
      <c r="G28" s="874"/>
      <c r="H28" s="874"/>
      <c r="I28" s="874"/>
      <c r="J28" s="874"/>
      <c r="K28" s="874"/>
      <c r="L28" s="874"/>
      <c r="M28" s="874"/>
      <c r="N28" s="874"/>
      <c r="O28" s="874"/>
      <c r="P28" s="874"/>
      <c r="Q28" s="874"/>
      <c r="R28" s="874"/>
      <c r="S28" s="874"/>
      <c r="T28" s="874"/>
      <c r="U28" s="868"/>
    </row>
    <row r="29" spans="2:21" x14ac:dyDescent="0.35">
      <c r="B29" s="878"/>
      <c r="C29" s="878"/>
      <c r="D29" s="879"/>
      <c r="E29" s="879"/>
      <c r="F29" s="879"/>
      <c r="G29" s="879"/>
      <c r="H29" s="884"/>
      <c r="I29" s="884"/>
      <c r="J29" s="880"/>
      <c r="K29" s="885"/>
      <c r="L29" s="885"/>
      <c r="M29" s="879"/>
      <c r="N29" s="879"/>
      <c r="O29" s="879"/>
      <c r="P29" s="879"/>
      <c r="Q29" s="884"/>
      <c r="R29" s="884"/>
      <c r="S29" s="880"/>
      <c r="T29" s="885"/>
      <c r="U29" s="868"/>
    </row>
    <row r="30" spans="2:21" x14ac:dyDescent="0.35">
      <c r="B30" s="619"/>
      <c r="C30" s="619"/>
      <c r="D30" s="620"/>
      <c r="E30" s="621"/>
      <c r="F30" s="621"/>
      <c r="G30" s="620"/>
      <c r="H30" s="621"/>
      <c r="I30" s="621"/>
      <c r="J30" s="620"/>
      <c r="K30" s="621"/>
      <c r="L30" s="621"/>
      <c r="M30" s="620"/>
      <c r="N30" s="621"/>
      <c r="O30" s="621"/>
      <c r="P30" s="620"/>
      <c r="Q30" s="621"/>
      <c r="R30" s="621"/>
      <c r="S30" s="620"/>
      <c r="T30" s="621"/>
    </row>
    <row r="31" spans="2:21" x14ac:dyDescent="0.35">
      <c r="B31" s="619"/>
      <c r="C31" s="619"/>
      <c r="D31" s="620"/>
      <c r="E31" s="621"/>
      <c r="F31" s="621"/>
      <c r="G31" s="620"/>
      <c r="H31" s="621"/>
      <c r="I31" s="621"/>
      <c r="J31" s="620"/>
      <c r="K31" s="621"/>
      <c r="L31" s="621"/>
      <c r="M31" s="620"/>
      <c r="N31" s="621"/>
      <c r="O31" s="621"/>
      <c r="P31" s="620"/>
      <c r="Q31" s="621"/>
      <c r="R31" s="621"/>
      <c r="S31" s="620"/>
      <c r="T31" s="621"/>
    </row>
    <row r="32" spans="2:21" x14ac:dyDescent="0.35">
      <c r="B32" s="868"/>
      <c r="C32" s="868"/>
      <c r="D32" s="932"/>
      <c r="E32" s="932"/>
      <c r="F32" s="932"/>
      <c r="G32" s="932"/>
      <c r="H32" s="932"/>
      <c r="I32" s="932"/>
      <c r="J32" s="932"/>
      <c r="K32" s="932"/>
      <c r="L32" s="932"/>
      <c r="M32" s="932"/>
      <c r="N32" s="932"/>
      <c r="O32" s="932"/>
      <c r="P32" s="932"/>
      <c r="Q32" s="932"/>
      <c r="R32" s="932"/>
      <c r="S32" s="932"/>
      <c r="T32" s="932"/>
      <c r="U32" s="868"/>
    </row>
    <row r="33" spans="2:20" x14ac:dyDescent="0.35">
      <c r="B33" s="873"/>
      <c r="C33" s="873"/>
      <c r="D33" s="933"/>
      <c r="E33" s="932"/>
      <c r="F33" s="932"/>
      <c r="G33" s="932"/>
      <c r="H33" s="932"/>
      <c r="I33" s="932"/>
      <c r="J33" s="932"/>
      <c r="K33" s="872"/>
      <c r="L33" s="872"/>
      <c r="M33" s="933"/>
      <c r="N33" s="932"/>
      <c r="O33" s="932"/>
      <c r="P33" s="932"/>
      <c r="Q33" s="932"/>
      <c r="R33" s="932"/>
      <c r="S33" s="932"/>
      <c r="T33" s="932"/>
    </row>
    <row r="34" spans="2:20" x14ac:dyDescent="0.35">
      <c r="B34" s="873"/>
      <c r="C34" s="873"/>
      <c r="D34" s="872"/>
      <c r="E34" s="872"/>
      <c r="F34" s="872"/>
      <c r="G34" s="872"/>
      <c r="H34" s="872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</row>
    <row r="35" spans="2:20" x14ac:dyDescent="0.35">
      <c r="B35" s="873"/>
      <c r="C35" s="873"/>
      <c r="D35" s="873"/>
      <c r="E35" s="873"/>
      <c r="F35" s="873"/>
      <c r="G35" s="873"/>
      <c r="H35" s="873"/>
      <c r="I35" s="873"/>
      <c r="J35" s="873"/>
      <c r="K35" s="873"/>
      <c r="L35" s="873"/>
      <c r="M35" s="873"/>
      <c r="N35" s="873"/>
      <c r="O35" s="873"/>
      <c r="P35" s="873"/>
      <c r="Q35" s="873"/>
      <c r="R35" s="873"/>
      <c r="S35" s="873"/>
      <c r="T35" s="873"/>
    </row>
    <row r="36" spans="2:20" x14ac:dyDescent="0.35">
      <c r="B36" s="873"/>
      <c r="C36" s="873"/>
      <c r="D36" s="874"/>
      <c r="E36" s="875"/>
      <c r="F36" s="875"/>
      <c r="G36" s="874"/>
      <c r="H36" s="875"/>
      <c r="I36" s="875"/>
      <c r="J36" s="874"/>
      <c r="K36" s="875"/>
      <c r="L36" s="875"/>
      <c r="M36" s="874"/>
      <c r="N36" s="875"/>
      <c r="O36" s="875"/>
      <c r="P36" s="874"/>
      <c r="Q36" s="875"/>
      <c r="R36" s="875"/>
      <c r="S36" s="874"/>
      <c r="T36" s="875"/>
    </row>
    <row r="37" spans="2:20" ht="16.5" customHeight="1" x14ac:dyDescent="0.35">
      <c r="B37" s="873"/>
      <c r="C37" s="873"/>
      <c r="D37" s="874"/>
      <c r="E37" s="875"/>
      <c r="F37" s="875"/>
      <c r="G37" s="874"/>
      <c r="H37" s="875"/>
      <c r="I37" s="875"/>
      <c r="J37" s="874"/>
      <c r="K37" s="875"/>
      <c r="L37" s="875"/>
      <c r="M37" s="874"/>
      <c r="N37" s="875"/>
      <c r="O37" s="875"/>
      <c r="P37" s="874"/>
      <c r="Q37" s="875"/>
      <c r="R37" s="875"/>
      <c r="S37" s="874"/>
      <c r="T37" s="875"/>
    </row>
    <row r="38" spans="2:20" x14ac:dyDescent="0.35">
      <c r="B38" s="873"/>
      <c r="C38" s="873"/>
      <c r="D38" s="874"/>
      <c r="E38" s="875"/>
      <c r="F38" s="875"/>
      <c r="G38" s="874"/>
      <c r="H38" s="875"/>
      <c r="I38" s="875"/>
      <c r="J38" s="874"/>
      <c r="K38" s="875"/>
      <c r="L38" s="875"/>
      <c r="M38" s="874"/>
      <c r="N38" s="875"/>
      <c r="O38" s="875"/>
      <c r="P38" s="874"/>
      <c r="Q38" s="875"/>
      <c r="R38" s="875"/>
      <c r="S38" s="874"/>
      <c r="T38" s="875"/>
    </row>
    <row r="39" spans="2:20" x14ac:dyDescent="0.35">
      <c r="B39" s="873"/>
      <c r="C39" s="873"/>
      <c r="D39" s="874"/>
      <c r="E39" s="875"/>
      <c r="F39" s="875"/>
      <c r="G39" s="874"/>
      <c r="H39" s="875"/>
      <c r="I39" s="875"/>
      <c r="J39" s="874"/>
      <c r="K39" s="875"/>
      <c r="L39" s="875"/>
      <c r="M39" s="874"/>
      <c r="N39" s="875"/>
      <c r="O39" s="875"/>
      <c r="P39" s="874"/>
      <c r="Q39" s="875"/>
      <c r="R39" s="875"/>
      <c r="S39" s="874"/>
      <c r="T39" s="875"/>
    </row>
    <row r="40" spans="2:20" x14ac:dyDescent="0.35">
      <c r="B40" s="873"/>
      <c r="C40" s="873"/>
      <c r="D40" s="874"/>
      <c r="E40" s="874"/>
      <c r="F40" s="874"/>
      <c r="G40" s="874"/>
      <c r="H40" s="874"/>
      <c r="I40" s="874"/>
      <c r="J40" s="874"/>
      <c r="K40" s="874"/>
      <c r="L40" s="874"/>
      <c r="M40" s="874"/>
      <c r="N40" s="875"/>
      <c r="O40" s="875"/>
      <c r="P40" s="874"/>
      <c r="Q40" s="874"/>
      <c r="R40" s="874"/>
      <c r="S40" s="874"/>
      <c r="T40" s="874"/>
    </row>
    <row r="41" spans="2:20" x14ac:dyDescent="0.35">
      <c r="B41" s="878"/>
      <c r="C41" s="878"/>
      <c r="D41" s="879"/>
      <c r="E41" s="879"/>
      <c r="F41" s="879"/>
      <c r="G41" s="879"/>
      <c r="H41" s="884"/>
      <c r="I41" s="884"/>
      <c r="J41" s="880"/>
      <c r="K41" s="885"/>
      <c r="L41" s="885"/>
      <c r="M41" s="879"/>
      <c r="N41" s="879"/>
      <c r="O41" s="879"/>
      <c r="P41" s="879"/>
      <c r="Q41" s="884"/>
      <c r="R41" s="884"/>
      <c r="S41" s="880"/>
      <c r="T41" s="885"/>
    </row>
    <row r="42" spans="2:20" x14ac:dyDescent="0.35">
      <c r="B42" s="622"/>
      <c r="C42" s="622"/>
      <c r="D42" s="623"/>
      <c r="E42" s="623"/>
      <c r="F42" s="623"/>
    </row>
    <row r="43" spans="2:20" x14ac:dyDescent="0.35">
      <c r="B43" s="936"/>
      <c r="C43" s="936"/>
      <c r="D43" s="936"/>
      <c r="E43" s="936"/>
      <c r="F43" s="898"/>
      <c r="G43" s="868"/>
      <c r="H43" s="868"/>
      <c r="I43" s="868"/>
      <c r="J43" s="868"/>
      <c r="K43" s="868"/>
      <c r="L43" s="868"/>
      <c r="M43" s="868"/>
      <c r="N43" s="868"/>
      <c r="O43" s="868"/>
      <c r="P43" s="868"/>
      <c r="Q43" s="868"/>
      <c r="R43" s="868"/>
      <c r="S43" s="868"/>
      <c r="T43" s="868"/>
    </row>
    <row r="44" spans="2:20" x14ac:dyDescent="0.35">
      <c r="B44" s="881"/>
      <c r="C44" s="881"/>
      <c r="D44" s="886"/>
      <c r="E44" s="886"/>
      <c r="F44" s="886"/>
      <c r="G44" s="868"/>
      <c r="H44" s="868"/>
      <c r="I44" s="868"/>
      <c r="J44" s="868"/>
      <c r="K44" s="868"/>
      <c r="L44" s="868"/>
      <c r="M44" s="868"/>
      <c r="N44" s="868"/>
      <c r="O44" s="868"/>
      <c r="P44" s="868"/>
      <c r="Q44" s="868"/>
      <c r="R44" s="868"/>
      <c r="S44" s="868"/>
      <c r="T44" s="868"/>
    </row>
    <row r="45" spans="2:20" x14ac:dyDescent="0.35">
      <c r="B45" s="881"/>
      <c r="C45" s="881"/>
      <c r="D45" s="881"/>
      <c r="E45" s="881"/>
      <c r="F45" s="881"/>
      <c r="G45" s="868"/>
      <c r="H45" s="868"/>
      <c r="I45" s="868"/>
      <c r="J45" s="868"/>
      <c r="K45" s="868"/>
      <c r="L45" s="868"/>
      <c r="M45" s="868"/>
      <c r="N45" s="868"/>
      <c r="O45" s="868"/>
      <c r="P45" s="868"/>
      <c r="Q45" s="868"/>
      <c r="R45" s="868"/>
      <c r="S45" s="868"/>
      <c r="T45" s="868"/>
    </row>
    <row r="46" spans="2:20" x14ac:dyDescent="0.35">
      <c r="B46" s="881"/>
      <c r="C46" s="881"/>
      <c r="D46" s="882"/>
      <c r="E46" s="882"/>
      <c r="F46" s="882"/>
      <c r="G46" s="868"/>
      <c r="H46" s="868"/>
      <c r="I46" s="868"/>
      <c r="J46" s="868"/>
      <c r="K46" s="868"/>
      <c r="L46" s="868"/>
      <c r="M46" s="868"/>
      <c r="N46" s="868"/>
      <c r="O46" s="868"/>
      <c r="P46" s="868"/>
      <c r="Q46" s="868"/>
      <c r="R46" s="868"/>
      <c r="S46" s="868"/>
      <c r="T46" s="868"/>
    </row>
    <row r="47" spans="2:20" x14ac:dyDescent="0.35">
      <c r="B47" s="881"/>
      <c r="C47" s="881"/>
      <c r="D47" s="882"/>
      <c r="E47" s="882"/>
      <c r="F47" s="882"/>
      <c r="G47" s="868"/>
      <c r="H47" s="868"/>
      <c r="I47" s="868"/>
      <c r="J47" s="868"/>
      <c r="K47" s="868"/>
      <c r="L47" s="868"/>
      <c r="M47" s="868"/>
      <c r="N47" s="868"/>
      <c r="O47" s="868"/>
      <c r="P47" s="868"/>
      <c r="Q47" s="868"/>
      <c r="R47" s="868"/>
      <c r="S47" s="868"/>
      <c r="T47" s="868"/>
    </row>
    <row r="48" spans="2:20" x14ac:dyDescent="0.35">
      <c r="B48" s="881"/>
      <c r="C48" s="881"/>
      <c r="D48" s="882"/>
      <c r="E48" s="882"/>
      <c r="F48" s="882"/>
      <c r="G48" s="868"/>
      <c r="H48" s="868"/>
      <c r="I48" s="868"/>
      <c r="J48" s="868"/>
      <c r="K48" s="868"/>
      <c r="L48" s="868"/>
      <c r="M48" s="868"/>
      <c r="N48" s="868"/>
      <c r="O48" s="868"/>
      <c r="P48" s="868"/>
      <c r="Q48" s="868"/>
      <c r="R48" s="868"/>
      <c r="S48" s="868"/>
      <c r="T48" s="868"/>
    </row>
    <row r="49" spans="2:27" ht="12.75" customHeight="1" x14ac:dyDescent="0.35">
      <c r="B49" s="881"/>
      <c r="C49" s="881"/>
      <c r="D49" s="882"/>
      <c r="E49" s="882"/>
      <c r="F49" s="882"/>
    </row>
    <row r="50" spans="2:27" x14ac:dyDescent="0.35">
      <c r="B50" s="881"/>
      <c r="C50" s="881"/>
      <c r="D50" s="882"/>
      <c r="E50" s="882"/>
      <c r="F50" s="882"/>
    </row>
    <row r="51" spans="2:27" x14ac:dyDescent="0.35">
      <c r="B51" s="887"/>
      <c r="C51" s="887"/>
      <c r="D51" s="888"/>
      <c r="E51" s="888"/>
      <c r="F51" s="888"/>
    </row>
    <row r="52" spans="2:27" x14ac:dyDescent="0.35">
      <c r="B52" s="624"/>
      <c r="C52" s="624"/>
      <c r="D52" s="863"/>
      <c r="E52" s="863"/>
      <c r="F52" s="863"/>
    </row>
    <row r="53" spans="2:27" x14ac:dyDescent="0.35">
      <c r="B53" s="625"/>
      <c r="C53" s="625"/>
      <c r="D53" s="625"/>
      <c r="E53" s="625"/>
      <c r="F53" s="625"/>
    </row>
    <row r="54" spans="2:27" x14ac:dyDescent="0.35">
      <c r="B54" s="626"/>
      <c r="C54" s="626"/>
      <c r="D54" s="620"/>
      <c r="E54" s="627"/>
      <c r="F54" s="627"/>
    </row>
    <row r="55" spans="2:27" x14ac:dyDescent="0.35">
      <c r="B55" s="934"/>
      <c r="C55" s="934"/>
      <c r="D55" s="934"/>
      <c r="E55" s="889"/>
      <c r="F55" s="889"/>
    </row>
    <row r="56" spans="2:27" x14ac:dyDescent="0.35">
      <c r="B56" s="889"/>
      <c r="C56" s="889"/>
      <c r="D56" s="889"/>
      <c r="E56" s="889"/>
      <c r="F56" s="889"/>
    </row>
    <row r="57" spans="2:27" x14ac:dyDescent="0.35">
      <c r="B57" s="890"/>
      <c r="C57" s="890"/>
      <c r="D57" s="935"/>
      <c r="E57" s="935"/>
      <c r="F57" s="892"/>
    </row>
    <row r="58" spans="2:27" x14ac:dyDescent="0.35">
      <c r="B58" s="891"/>
      <c r="C58" s="891"/>
      <c r="D58" s="892"/>
      <c r="E58" s="892"/>
      <c r="F58" s="892"/>
    </row>
    <row r="59" spans="2:27" x14ac:dyDescent="0.35">
      <c r="B59" s="893"/>
      <c r="C59" s="893"/>
      <c r="D59" s="893"/>
      <c r="E59" s="893"/>
      <c r="F59" s="893"/>
    </row>
    <row r="60" spans="2:27" ht="12.75" customHeight="1" x14ac:dyDescent="0.35">
      <c r="B60" s="894"/>
      <c r="C60" s="894"/>
      <c r="D60" s="874"/>
      <c r="E60" s="895"/>
      <c r="F60" s="895"/>
      <c r="Y60" s="617"/>
      <c r="Z60" s="617"/>
      <c r="AA60" s="617"/>
    </row>
    <row r="61" spans="2:27" ht="15.75" customHeight="1" x14ac:dyDescent="0.35">
      <c r="B61" s="894"/>
      <c r="C61" s="894"/>
      <c r="D61" s="874"/>
      <c r="E61" s="895"/>
      <c r="F61" s="895"/>
      <c r="G61" s="862"/>
      <c r="H61" s="862"/>
      <c r="I61" s="862"/>
      <c r="J61" s="862"/>
      <c r="K61" s="862"/>
      <c r="L61" s="862"/>
      <c r="M61" s="862"/>
      <c r="N61" s="862"/>
      <c r="O61" s="862"/>
      <c r="P61" s="862"/>
      <c r="Q61" s="862"/>
      <c r="R61" s="862"/>
      <c r="S61" s="862"/>
      <c r="T61" s="862"/>
      <c r="U61" s="510"/>
    </row>
    <row r="62" spans="2:27" x14ac:dyDescent="0.35">
      <c r="B62" s="894"/>
      <c r="C62" s="894"/>
      <c r="D62" s="874"/>
      <c r="E62" s="895"/>
      <c r="F62" s="895"/>
      <c r="G62" s="510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0"/>
      <c r="S62" s="510"/>
      <c r="T62" s="510"/>
      <c r="U62" s="510"/>
    </row>
    <row r="63" spans="2:27" x14ac:dyDescent="0.35">
      <c r="B63" s="894"/>
      <c r="C63" s="894"/>
      <c r="D63" s="874"/>
      <c r="E63" s="895"/>
      <c r="F63" s="895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</row>
    <row r="64" spans="2:27" x14ac:dyDescent="0.35">
      <c r="B64" s="896"/>
      <c r="C64" s="896"/>
      <c r="D64" s="880"/>
      <c r="E64" s="897"/>
      <c r="F64" s="897"/>
      <c r="G64" s="620"/>
      <c r="H64" s="508"/>
      <c r="I64" s="508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  <c r="U64" s="510"/>
    </row>
    <row r="65" spans="2:27" x14ac:dyDescent="0.35">
      <c r="B65" s="619"/>
      <c r="C65" s="619"/>
      <c r="D65" s="620"/>
      <c r="E65" s="508"/>
      <c r="F65" s="508"/>
      <c r="G65" s="620"/>
      <c r="H65" s="508"/>
      <c r="I65" s="508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  <c r="U65" s="510"/>
    </row>
    <row r="66" spans="2:27" x14ac:dyDescent="0.35">
      <c r="B66" s="868"/>
      <c r="C66" s="868"/>
      <c r="D66" s="868"/>
      <c r="E66" s="868"/>
      <c r="F66" s="868"/>
      <c r="G66" s="868"/>
      <c r="H66" s="868"/>
      <c r="I66" s="868"/>
      <c r="J66" s="868"/>
      <c r="K66" s="868"/>
      <c r="L66" s="868"/>
      <c r="M66" s="868"/>
      <c r="N66" s="868"/>
      <c r="O66" s="868"/>
      <c r="P66" s="868"/>
      <c r="Q66" s="868"/>
      <c r="R66" s="868"/>
      <c r="S66" s="868"/>
      <c r="T66" s="868"/>
      <c r="U66" s="868"/>
      <c r="V66" s="868"/>
      <c r="W66" s="868"/>
      <c r="X66" s="868"/>
      <c r="Y66" s="871"/>
      <c r="Z66" s="871"/>
      <c r="AA66" s="871"/>
    </row>
    <row r="67" spans="2:27" x14ac:dyDescent="0.35">
      <c r="B67" s="873"/>
      <c r="C67" s="873"/>
      <c r="D67" s="932"/>
      <c r="E67" s="932"/>
      <c r="F67" s="932"/>
      <c r="G67" s="932"/>
      <c r="H67" s="932"/>
      <c r="I67" s="932"/>
      <c r="J67" s="932"/>
      <c r="K67" s="932"/>
      <c r="L67" s="872"/>
      <c r="M67" s="932"/>
      <c r="N67" s="932"/>
      <c r="O67" s="932"/>
      <c r="P67" s="932"/>
      <c r="Q67" s="932"/>
      <c r="R67" s="932"/>
      <c r="S67" s="932"/>
      <c r="T67" s="932"/>
      <c r="U67" s="870"/>
      <c r="V67" s="868"/>
      <c r="W67" s="868"/>
      <c r="X67" s="868"/>
      <c r="Y67" s="868"/>
      <c r="Z67" s="868"/>
      <c r="AA67" s="868"/>
    </row>
    <row r="68" spans="2:27" x14ac:dyDescent="0.35">
      <c r="B68" s="873"/>
      <c r="C68" s="873"/>
      <c r="D68" s="872"/>
      <c r="E68" s="872"/>
      <c r="F68" s="872"/>
      <c r="G68" s="870"/>
      <c r="H68" s="870"/>
      <c r="I68" s="870"/>
      <c r="J68" s="870"/>
      <c r="K68" s="870"/>
      <c r="L68" s="870"/>
      <c r="M68" s="870"/>
      <c r="N68" s="870"/>
      <c r="O68" s="870"/>
      <c r="P68" s="870"/>
      <c r="Q68" s="870"/>
      <c r="R68" s="870"/>
      <c r="S68" s="870"/>
      <c r="T68" s="870"/>
      <c r="U68" s="870"/>
      <c r="V68" s="868"/>
      <c r="W68" s="868"/>
      <c r="X68" s="868"/>
      <c r="Y68" s="868"/>
      <c r="Z68" s="868"/>
      <c r="AA68" s="868"/>
    </row>
    <row r="69" spans="2:27" x14ac:dyDescent="0.35">
      <c r="B69" s="873"/>
      <c r="C69" s="873"/>
      <c r="D69" s="873"/>
      <c r="E69" s="873"/>
      <c r="F69" s="873"/>
      <c r="G69" s="870"/>
      <c r="H69" s="870"/>
      <c r="I69" s="870"/>
      <c r="J69" s="870"/>
      <c r="K69" s="870"/>
      <c r="L69" s="870"/>
      <c r="M69" s="870"/>
      <c r="N69" s="870"/>
      <c r="O69" s="870"/>
      <c r="P69" s="870"/>
      <c r="Q69" s="870"/>
      <c r="R69" s="870"/>
      <c r="S69" s="870"/>
      <c r="T69" s="870"/>
      <c r="U69" s="870"/>
      <c r="V69" s="868"/>
      <c r="W69" s="868"/>
      <c r="X69" s="868"/>
      <c r="Y69" s="868"/>
      <c r="Z69" s="868"/>
      <c r="AA69" s="868"/>
    </row>
    <row r="70" spans="2:27" x14ac:dyDescent="0.35">
      <c r="B70" s="873"/>
      <c r="C70" s="873"/>
      <c r="D70" s="874"/>
      <c r="E70" s="869"/>
      <c r="F70" s="869"/>
      <c r="G70" s="874"/>
      <c r="H70" s="869"/>
      <c r="I70" s="869"/>
      <c r="J70" s="870"/>
      <c r="K70" s="870"/>
      <c r="L70" s="870"/>
      <c r="M70" s="870"/>
      <c r="N70" s="870"/>
      <c r="O70" s="870"/>
      <c r="P70" s="870"/>
      <c r="Q70" s="870"/>
      <c r="R70" s="870"/>
      <c r="S70" s="870"/>
      <c r="T70" s="870"/>
      <c r="U70" s="870"/>
      <c r="V70" s="868"/>
      <c r="W70" s="868"/>
      <c r="X70" s="868"/>
      <c r="Y70" s="868"/>
      <c r="Z70" s="868"/>
      <c r="AA70" s="868"/>
    </row>
    <row r="71" spans="2:27" ht="16.5" customHeight="1" x14ac:dyDescent="0.35">
      <c r="B71" s="873"/>
      <c r="C71" s="873"/>
      <c r="D71" s="874"/>
      <c r="E71" s="869"/>
      <c r="F71" s="869"/>
      <c r="G71" s="874"/>
      <c r="H71" s="869"/>
      <c r="I71" s="869"/>
      <c r="J71" s="870"/>
      <c r="K71" s="870"/>
      <c r="L71" s="870"/>
      <c r="M71" s="870"/>
      <c r="N71" s="870"/>
      <c r="O71" s="870"/>
      <c r="P71" s="870"/>
      <c r="Q71" s="870"/>
      <c r="R71" s="870"/>
      <c r="S71" s="870"/>
      <c r="T71" s="870"/>
      <c r="U71" s="870"/>
      <c r="V71" s="868"/>
      <c r="W71" s="868"/>
      <c r="X71" s="868"/>
      <c r="Y71" s="868"/>
      <c r="Z71" s="868"/>
      <c r="AA71" s="868"/>
    </row>
    <row r="72" spans="2:27" ht="16.5" customHeight="1" x14ac:dyDescent="0.35">
      <c r="B72" s="873"/>
      <c r="C72" s="873"/>
      <c r="D72" s="874"/>
      <c r="E72" s="869"/>
      <c r="F72" s="869"/>
      <c r="G72" s="874"/>
      <c r="H72" s="869"/>
      <c r="I72" s="869"/>
      <c r="J72" s="870"/>
      <c r="K72" s="870"/>
      <c r="L72" s="870"/>
      <c r="M72" s="870"/>
      <c r="N72" s="870"/>
      <c r="O72" s="870"/>
      <c r="P72" s="870"/>
      <c r="Q72" s="870"/>
      <c r="R72" s="870"/>
      <c r="S72" s="870"/>
      <c r="T72" s="870"/>
      <c r="U72" s="870"/>
      <c r="V72" s="868"/>
      <c r="W72" s="868"/>
      <c r="X72" s="868"/>
      <c r="Y72" s="868"/>
      <c r="Z72" s="868"/>
      <c r="AA72" s="868"/>
    </row>
    <row r="73" spans="2:27" x14ac:dyDescent="0.35">
      <c r="B73" s="873"/>
      <c r="C73" s="873"/>
      <c r="D73" s="874"/>
      <c r="E73" s="869"/>
      <c r="F73" s="869"/>
      <c r="G73" s="874"/>
      <c r="H73" s="869"/>
      <c r="I73" s="869"/>
      <c r="J73" s="870"/>
      <c r="K73" s="870"/>
      <c r="L73" s="870"/>
      <c r="M73" s="870"/>
      <c r="N73" s="870"/>
      <c r="O73" s="870"/>
      <c r="P73" s="870"/>
      <c r="Q73" s="870"/>
      <c r="R73" s="870"/>
      <c r="S73" s="870"/>
      <c r="T73" s="870"/>
      <c r="U73" s="870"/>
      <c r="V73" s="868"/>
      <c r="W73" s="868"/>
      <c r="X73" s="868"/>
      <c r="Y73" s="868"/>
      <c r="Z73" s="868"/>
      <c r="AA73" s="868"/>
    </row>
    <row r="74" spans="2:27" x14ac:dyDescent="0.35">
      <c r="B74" s="878"/>
      <c r="C74" s="878"/>
      <c r="D74" s="879"/>
      <c r="E74" s="869"/>
      <c r="F74" s="869"/>
      <c r="G74" s="879"/>
      <c r="H74" s="869"/>
      <c r="I74" s="869"/>
      <c r="J74" s="870"/>
      <c r="K74" s="870"/>
      <c r="L74" s="870"/>
      <c r="M74" s="870"/>
      <c r="N74" s="870"/>
      <c r="O74" s="870"/>
      <c r="P74" s="870"/>
      <c r="Q74" s="870"/>
      <c r="R74" s="870"/>
      <c r="S74" s="870"/>
      <c r="T74" s="870"/>
      <c r="U74" s="870"/>
      <c r="V74" s="868"/>
      <c r="W74" s="868"/>
      <c r="X74" s="868"/>
      <c r="Y74" s="868"/>
      <c r="Z74" s="868"/>
      <c r="AA74" s="868"/>
    </row>
    <row r="75" spans="2:27" x14ac:dyDescent="0.35">
      <c r="B75" s="870"/>
      <c r="C75" s="870"/>
      <c r="D75" s="870"/>
      <c r="E75" s="870"/>
      <c r="F75" s="870"/>
      <c r="G75" s="870"/>
      <c r="H75" s="870"/>
      <c r="I75" s="870"/>
      <c r="J75" s="870"/>
      <c r="K75" s="870"/>
      <c r="L75" s="870"/>
      <c r="M75" s="870"/>
      <c r="N75" s="870"/>
      <c r="O75" s="870"/>
      <c r="P75" s="870"/>
      <c r="Q75" s="870"/>
      <c r="R75" s="870"/>
      <c r="S75" s="870"/>
      <c r="T75" s="870"/>
      <c r="U75" s="870"/>
      <c r="V75" s="868"/>
      <c r="W75" s="868"/>
      <c r="X75" s="868"/>
      <c r="Y75" s="868"/>
      <c r="Z75" s="868"/>
      <c r="AA75" s="868"/>
    </row>
    <row r="76" spans="2:27" x14ac:dyDescent="0.35">
      <c r="B76" s="870"/>
      <c r="C76" s="870"/>
      <c r="D76" s="874"/>
      <c r="E76" s="870"/>
      <c r="F76" s="870"/>
      <c r="G76" s="870"/>
      <c r="H76" s="870"/>
      <c r="I76" s="870"/>
      <c r="J76" s="870"/>
      <c r="K76" s="870"/>
      <c r="L76" s="870"/>
      <c r="M76" s="870"/>
      <c r="N76" s="870"/>
      <c r="O76" s="870"/>
      <c r="P76" s="870"/>
      <c r="Q76" s="870"/>
      <c r="R76" s="870"/>
      <c r="S76" s="870"/>
      <c r="T76" s="870"/>
      <c r="U76" s="870"/>
      <c r="V76" s="868"/>
      <c r="W76" s="868"/>
      <c r="X76" s="868"/>
      <c r="Y76" s="868"/>
      <c r="Z76" s="868"/>
      <c r="AA76" s="868"/>
    </row>
    <row r="77" spans="2:27" x14ac:dyDescent="0.35">
      <c r="B77" s="873"/>
      <c r="C77" s="873"/>
      <c r="D77" s="874"/>
      <c r="E77" s="874"/>
      <c r="F77" s="874"/>
      <c r="G77" s="870"/>
      <c r="H77" s="870"/>
      <c r="I77" s="870"/>
      <c r="J77" s="870"/>
      <c r="K77" s="870"/>
      <c r="L77" s="870"/>
      <c r="M77" s="870"/>
      <c r="N77" s="870"/>
      <c r="O77" s="870"/>
      <c r="P77" s="870"/>
      <c r="Q77" s="870"/>
      <c r="R77" s="870"/>
      <c r="S77" s="870"/>
      <c r="T77" s="870"/>
      <c r="U77" s="870"/>
      <c r="V77" s="868"/>
      <c r="W77" s="868"/>
      <c r="X77" s="868"/>
      <c r="Y77" s="868"/>
      <c r="Z77" s="868"/>
      <c r="AA77" s="868"/>
    </row>
    <row r="78" spans="2:27" x14ac:dyDescent="0.35">
      <c r="B78" s="873"/>
      <c r="C78" s="873"/>
      <c r="D78" s="874"/>
      <c r="E78" s="874"/>
      <c r="F78" s="874"/>
      <c r="G78" s="870"/>
      <c r="H78" s="870"/>
      <c r="I78" s="870"/>
      <c r="J78" s="870"/>
      <c r="K78" s="870"/>
      <c r="L78" s="870"/>
      <c r="M78" s="870"/>
      <c r="N78" s="870"/>
      <c r="O78" s="870"/>
      <c r="P78" s="870"/>
      <c r="Q78" s="870"/>
      <c r="R78" s="870"/>
      <c r="S78" s="870"/>
      <c r="T78" s="870"/>
      <c r="U78" s="870"/>
      <c r="V78" s="868"/>
      <c r="W78" s="868"/>
      <c r="X78" s="868"/>
      <c r="Y78" s="868"/>
      <c r="Z78" s="868"/>
      <c r="AA78" s="868"/>
    </row>
    <row r="79" spans="2:27" x14ac:dyDescent="0.35">
      <c r="B79" s="873"/>
      <c r="C79" s="873"/>
      <c r="D79" s="874"/>
      <c r="E79" s="874"/>
      <c r="F79" s="874"/>
      <c r="G79" s="870"/>
      <c r="H79" s="870"/>
      <c r="I79" s="870"/>
      <c r="J79" s="870"/>
      <c r="K79" s="870"/>
      <c r="L79" s="870"/>
      <c r="M79" s="870"/>
      <c r="N79" s="870"/>
      <c r="O79" s="870"/>
      <c r="P79" s="870"/>
      <c r="Q79" s="870"/>
      <c r="R79" s="870"/>
      <c r="S79" s="870"/>
      <c r="T79" s="870"/>
      <c r="U79" s="870"/>
      <c r="V79" s="868"/>
      <c r="W79" s="868"/>
      <c r="X79" s="868"/>
      <c r="Y79" s="868"/>
      <c r="Z79" s="868"/>
      <c r="AA79" s="868"/>
    </row>
    <row r="80" spans="2:27" x14ac:dyDescent="0.35">
      <c r="B80" s="870"/>
      <c r="C80" s="870"/>
      <c r="D80" s="870"/>
      <c r="E80" s="870"/>
      <c r="F80" s="870"/>
      <c r="G80" s="870"/>
      <c r="H80" s="870"/>
      <c r="I80" s="870"/>
      <c r="J80" s="870"/>
      <c r="K80" s="870"/>
      <c r="L80" s="870"/>
      <c r="M80" s="870"/>
      <c r="N80" s="870"/>
      <c r="O80" s="870"/>
      <c r="P80" s="870"/>
      <c r="Q80" s="870"/>
      <c r="R80" s="870"/>
      <c r="S80" s="870"/>
      <c r="T80" s="870"/>
      <c r="U80" s="870"/>
      <c r="V80" s="868"/>
      <c r="W80" s="868"/>
      <c r="X80" s="868"/>
      <c r="Y80" s="868"/>
      <c r="Z80" s="868"/>
      <c r="AA80" s="868"/>
    </row>
    <row r="81" spans="2:25" x14ac:dyDescent="0.35">
      <c r="B81" s="870"/>
      <c r="C81" s="870"/>
      <c r="D81" s="869"/>
      <c r="E81" s="869"/>
      <c r="F81" s="869"/>
      <c r="G81" s="870"/>
      <c r="H81" s="870"/>
      <c r="I81" s="870"/>
      <c r="J81" s="870"/>
      <c r="K81" s="870"/>
      <c r="L81" s="870"/>
      <c r="M81" s="870"/>
      <c r="N81" s="870"/>
      <c r="O81" s="870"/>
      <c r="P81" s="870"/>
      <c r="Q81" s="870"/>
      <c r="R81" s="870"/>
      <c r="S81" s="870"/>
      <c r="T81" s="870"/>
      <c r="U81" s="870"/>
      <c r="V81" s="868"/>
      <c r="W81" s="868"/>
      <c r="X81" s="868"/>
      <c r="Y81" s="868"/>
    </row>
    <row r="82" spans="2:25" ht="15.75" customHeight="1" x14ac:dyDescent="0.35">
      <c r="B82" s="870"/>
      <c r="C82" s="870"/>
      <c r="D82" s="870"/>
      <c r="E82" s="870"/>
      <c r="F82" s="870"/>
      <c r="G82" s="870"/>
      <c r="H82" s="870"/>
      <c r="I82" s="870"/>
      <c r="J82" s="870"/>
      <c r="K82" s="870"/>
      <c r="L82" s="870"/>
      <c r="M82" s="870"/>
      <c r="N82" s="870"/>
      <c r="O82" s="870"/>
      <c r="P82" s="870"/>
      <c r="Q82" s="870"/>
      <c r="R82" s="870"/>
      <c r="S82" s="870"/>
      <c r="T82" s="870"/>
      <c r="U82" s="870"/>
      <c r="V82" s="868"/>
      <c r="W82" s="868"/>
      <c r="X82" s="868"/>
      <c r="Y82" s="868"/>
    </row>
    <row r="83" spans="2:25" ht="16.5" customHeight="1" x14ac:dyDescent="0.35">
      <c r="B83" s="870"/>
      <c r="C83" s="870"/>
      <c r="D83" s="870"/>
      <c r="E83" s="870"/>
      <c r="F83" s="870"/>
      <c r="G83" s="870"/>
      <c r="H83" s="870"/>
      <c r="I83" s="870"/>
      <c r="J83" s="870"/>
      <c r="K83" s="870"/>
      <c r="L83" s="870"/>
      <c r="M83" s="870"/>
      <c r="N83" s="870"/>
      <c r="O83" s="870"/>
      <c r="P83" s="870"/>
      <c r="Q83" s="870"/>
      <c r="R83" s="870"/>
      <c r="S83" s="870"/>
      <c r="T83" s="870"/>
      <c r="U83" s="870"/>
      <c r="V83" s="868"/>
      <c r="W83" s="868"/>
      <c r="X83" s="868"/>
      <c r="Y83" s="868"/>
    </row>
    <row r="84" spans="2:25" x14ac:dyDescent="0.35">
      <c r="B84" s="870"/>
      <c r="C84" s="870"/>
      <c r="D84" s="870"/>
      <c r="E84" s="870"/>
      <c r="F84" s="870"/>
      <c r="G84" s="870"/>
      <c r="H84" s="870"/>
      <c r="I84" s="870"/>
      <c r="J84" s="870"/>
      <c r="K84" s="870"/>
      <c r="L84" s="870"/>
      <c r="M84" s="870"/>
      <c r="N84" s="870"/>
      <c r="O84" s="870"/>
      <c r="P84" s="870"/>
      <c r="Q84" s="870"/>
      <c r="R84" s="870"/>
      <c r="S84" s="870"/>
      <c r="T84" s="870"/>
      <c r="U84" s="870"/>
      <c r="V84" s="868"/>
      <c r="W84" s="868"/>
      <c r="X84" s="868"/>
      <c r="Y84" s="868"/>
    </row>
    <row r="85" spans="2:25" x14ac:dyDescent="0.35">
      <c r="B85" s="870"/>
      <c r="C85" s="870"/>
      <c r="D85" s="870"/>
      <c r="E85" s="870"/>
      <c r="F85" s="870"/>
      <c r="G85" s="870"/>
      <c r="H85" s="870"/>
      <c r="I85" s="870"/>
      <c r="J85" s="870"/>
      <c r="K85" s="870"/>
      <c r="L85" s="870"/>
      <c r="M85" s="870"/>
      <c r="N85" s="870"/>
      <c r="O85" s="870"/>
      <c r="P85" s="870"/>
      <c r="Q85" s="870"/>
      <c r="R85" s="870"/>
      <c r="S85" s="870"/>
      <c r="T85" s="870"/>
      <c r="U85" s="870"/>
      <c r="V85" s="868"/>
      <c r="W85" s="868"/>
      <c r="X85" s="868"/>
      <c r="Y85" s="868"/>
    </row>
    <row r="86" spans="2:25" x14ac:dyDescent="0.35">
      <c r="B86" s="870"/>
      <c r="C86" s="870"/>
      <c r="D86" s="870"/>
      <c r="E86" s="870"/>
      <c r="F86" s="870"/>
      <c r="G86" s="870"/>
      <c r="H86" s="870"/>
      <c r="I86" s="870"/>
      <c r="J86" s="870"/>
      <c r="K86" s="870"/>
      <c r="L86" s="870"/>
      <c r="M86" s="870"/>
      <c r="N86" s="870"/>
      <c r="O86" s="870"/>
      <c r="P86" s="870"/>
      <c r="Q86" s="870"/>
      <c r="R86" s="870"/>
      <c r="S86" s="870"/>
      <c r="T86" s="870"/>
      <c r="U86" s="870"/>
      <c r="V86" s="868"/>
      <c r="W86" s="868"/>
      <c r="X86" s="868"/>
      <c r="Y86" s="868"/>
    </row>
    <row r="87" spans="2:25" x14ac:dyDescent="0.35">
      <c r="B87" s="870"/>
      <c r="C87" s="870"/>
      <c r="D87" s="870"/>
      <c r="E87" s="870"/>
      <c r="F87" s="870"/>
      <c r="G87" s="870"/>
      <c r="H87" s="870"/>
      <c r="I87" s="870"/>
      <c r="J87" s="870"/>
      <c r="K87" s="870"/>
      <c r="L87" s="870"/>
      <c r="M87" s="870"/>
      <c r="N87" s="870"/>
      <c r="O87" s="870"/>
      <c r="P87" s="870"/>
      <c r="Q87" s="870"/>
      <c r="R87" s="870"/>
      <c r="S87" s="870"/>
      <c r="T87" s="870"/>
      <c r="U87" s="870"/>
      <c r="V87" s="868"/>
      <c r="W87" s="868"/>
      <c r="X87" s="868"/>
      <c r="Y87" s="868"/>
    </row>
    <row r="88" spans="2:25" x14ac:dyDescent="0.35">
      <c r="B88" s="870"/>
      <c r="C88" s="870"/>
      <c r="D88" s="870"/>
      <c r="E88" s="870"/>
      <c r="F88" s="870"/>
      <c r="G88" s="870"/>
      <c r="H88" s="870"/>
      <c r="I88" s="870"/>
      <c r="J88" s="870"/>
      <c r="K88" s="870"/>
      <c r="L88" s="870"/>
      <c r="M88" s="870"/>
      <c r="N88" s="870"/>
      <c r="O88" s="870"/>
      <c r="P88" s="870"/>
      <c r="Q88" s="870"/>
      <c r="R88" s="870"/>
      <c r="S88" s="870"/>
      <c r="T88" s="870"/>
      <c r="U88" s="870"/>
      <c r="V88" s="868"/>
      <c r="W88" s="868"/>
      <c r="X88" s="868"/>
      <c r="Y88" s="868"/>
    </row>
    <row r="89" spans="2:25" x14ac:dyDescent="0.35">
      <c r="B89" s="868"/>
      <c r="C89" s="868"/>
      <c r="D89" s="868"/>
      <c r="E89" s="868"/>
      <c r="F89" s="868"/>
      <c r="G89" s="868"/>
      <c r="H89" s="868"/>
      <c r="I89" s="868"/>
      <c r="J89" s="868"/>
      <c r="K89" s="868"/>
      <c r="L89" s="868"/>
      <c r="M89" s="868"/>
      <c r="N89" s="868"/>
      <c r="O89" s="868"/>
      <c r="P89" s="868"/>
      <c r="Q89" s="868"/>
      <c r="R89" s="868"/>
      <c r="S89" s="868"/>
      <c r="T89" s="868"/>
      <c r="U89" s="868"/>
      <c r="V89" s="868"/>
      <c r="W89" s="868"/>
      <c r="X89" s="868"/>
      <c r="Y89" s="868"/>
    </row>
    <row r="90" spans="2:25" x14ac:dyDescent="0.35">
      <c r="B90" s="868"/>
      <c r="C90" s="868"/>
      <c r="D90" s="868"/>
      <c r="E90" s="868"/>
      <c r="F90" s="868"/>
      <c r="G90" s="868"/>
      <c r="H90" s="868"/>
      <c r="I90" s="868"/>
      <c r="J90" s="868"/>
      <c r="K90" s="868"/>
      <c r="L90" s="868"/>
      <c r="M90" s="868"/>
      <c r="N90" s="868"/>
      <c r="O90" s="868"/>
      <c r="P90" s="868"/>
      <c r="Q90" s="868"/>
      <c r="R90" s="868"/>
      <c r="S90" s="868"/>
      <c r="T90" s="868"/>
      <c r="U90" s="868"/>
      <c r="V90" s="868"/>
      <c r="W90" s="868"/>
      <c r="X90" s="868"/>
      <c r="Y90" s="872"/>
    </row>
    <row r="91" spans="2:25" x14ac:dyDescent="0.35">
      <c r="B91" s="868"/>
      <c r="C91" s="868"/>
      <c r="D91" s="868"/>
      <c r="E91" s="868"/>
      <c r="F91" s="868"/>
      <c r="G91" s="868"/>
      <c r="H91" s="868"/>
      <c r="I91" s="868"/>
      <c r="J91" s="868"/>
      <c r="K91" s="868"/>
      <c r="L91" s="868"/>
      <c r="M91" s="868"/>
      <c r="N91" s="868"/>
      <c r="O91" s="868"/>
      <c r="P91" s="868"/>
      <c r="Q91" s="868"/>
      <c r="R91" s="868"/>
      <c r="S91" s="868"/>
      <c r="T91" s="868"/>
      <c r="U91" s="868"/>
      <c r="V91" s="868"/>
      <c r="W91" s="868"/>
      <c r="X91" s="868"/>
      <c r="Y91" s="873"/>
    </row>
    <row r="92" spans="2:25" x14ac:dyDescent="0.35">
      <c r="B92" s="868"/>
      <c r="C92" s="868"/>
      <c r="D92" s="868"/>
      <c r="E92" s="868"/>
      <c r="F92" s="868"/>
      <c r="G92" s="868"/>
      <c r="H92" s="868"/>
      <c r="I92" s="868"/>
      <c r="J92" s="868"/>
      <c r="K92" s="868"/>
      <c r="L92" s="868"/>
      <c r="M92" s="868"/>
      <c r="N92" s="868"/>
      <c r="O92" s="868"/>
      <c r="P92" s="868"/>
      <c r="Q92" s="868"/>
      <c r="R92" s="868"/>
      <c r="S92" s="868"/>
      <c r="T92" s="868"/>
      <c r="U92" s="868"/>
      <c r="V92" s="868"/>
      <c r="W92" s="868"/>
      <c r="X92" s="868"/>
      <c r="Y92" s="874"/>
    </row>
    <row r="93" spans="2:25" x14ac:dyDescent="0.35">
      <c r="B93" s="868"/>
      <c r="C93" s="868"/>
      <c r="D93" s="868"/>
      <c r="E93" s="868"/>
      <c r="F93" s="868"/>
      <c r="G93" s="868"/>
      <c r="H93" s="868"/>
      <c r="I93" s="868"/>
      <c r="J93" s="868"/>
      <c r="K93" s="868"/>
      <c r="L93" s="868"/>
      <c r="M93" s="868"/>
      <c r="N93" s="868"/>
      <c r="O93" s="868"/>
      <c r="P93" s="868"/>
      <c r="Q93" s="868"/>
      <c r="R93" s="868"/>
      <c r="S93" s="868"/>
      <c r="T93" s="868"/>
      <c r="U93" s="868"/>
      <c r="V93" s="868"/>
      <c r="W93" s="868"/>
      <c r="X93" s="868"/>
      <c r="Y93" s="874"/>
    </row>
    <row r="94" spans="2:25" x14ac:dyDescent="0.35">
      <c r="B94" s="868"/>
      <c r="C94" s="868"/>
      <c r="D94" s="868"/>
      <c r="E94" s="868"/>
      <c r="F94" s="868"/>
      <c r="G94" s="868"/>
      <c r="H94" s="868"/>
      <c r="I94" s="868"/>
      <c r="J94" s="868"/>
      <c r="K94" s="868"/>
      <c r="L94" s="868"/>
      <c r="M94" s="868"/>
      <c r="N94" s="868"/>
      <c r="O94" s="868"/>
      <c r="P94" s="868"/>
      <c r="Q94" s="868"/>
      <c r="R94" s="868"/>
      <c r="S94" s="868"/>
      <c r="T94" s="868"/>
      <c r="U94" s="868"/>
      <c r="V94" s="868"/>
      <c r="W94" s="868"/>
      <c r="X94" s="868"/>
      <c r="Y94" s="874"/>
    </row>
    <row r="95" spans="2:25" x14ac:dyDescent="0.35">
      <c r="B95" s="868"/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74"/>
    </row>
    <row r="96" spans="2:25" x14ac:dyDescent="0.35"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80"/>
    </row>
  </sheetData>
  <mergeCells count="14">
    <mergeCell ref="D67:K67"/>
    <mergeCell ref="M67:T67"/>
    <mergeCell ref="D32:T32"/>
    <mergeCell ref="D33:J33"/>
    <mergeCell ref="M33:T33"/>
    <mergeCell ref="B55:D55"/>
    <mergeCell ref="D57:E57"/>
    <mergeCell ref="B43:E43"/>
    <mergeCell ref="D2:T2"/>
    <mergeCell ref="D4:K4"/>
    <mergeCell ref="M4:T4"/>
    <mergeCell ref="D21:T21"/>
    <mergeCell ref="D22:K22"/>
    <mergeCell ref="M22:T22"/>
  </mergeCells>
  <pageMargins left="0.7" right="0.7" top="0.75" bottom="0.75" header="0.3" footer="0.3"/>
  <pageSetup paperSize="9" scale="3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538DD5"/>
    <pageSetUpPr fitToPage="1"/>
  </sheetPr>
  <dimension ref="B2:Q24"/>
  <sheetViews>
    <sheetView workbookViewId="0">
      <selection activeCell="F23" sqref="F23"/>
    </sheetView>
  </sheetViews>
  <sheetFormatPr baseColWidth="10" defaultColWidth="11" defaultRowHeight="15.5" x14ac:dyDescent="0.35"/>
  <cols>
    <col min="1" max="1" width="4" style="654" customWidth="1"/>
    <col min="2" max="2" width="39.08203125" style="654" customWidth="1"/>
    <col min="3" max="3" width="0.83203125" style="654" customWidth="1"/>
    <col min="4" max="4" width="10.58203125" style="654" customWidth="1"/>
    <col min="5" max="5" width="0.83203125" style="654" customWidth="1"/>
    <col min="6" max="6" width="10.58203125" style="654" customWidth="1"/>
    <col min="7" max="7" width="0.83203125" style="654" customWidth="1"/>
    <col min="8" max="8" width="10.58203125" style="654" customWidth="1"/>
    <col min="9" max="9" width="0.83203125" style="654" customWidth="1"/>
    <col min="10" max="10" width="10.58203125" style="654" customWidth="1"/>
    <col min="11" max="16384" width="11" style="654"/>
  </cols>
  <sheetData>
    <row r="2" spans="2:17" s="651" customFormat="1" ht="17.5" x14ac:dyDescent="0.3">
      <c r="B2" s="920" t="s">
        <v>220</v>
      </c>
      <c r="C2" s="920"/>
      <c r="D2" s="920"/>
      <c r="E2" s="920"/>
      <c r="F2" s="920"/>
      <c r="G2" s="920"/>
      <c r="H2" s="920"/>
      <c r="I2" s="920"/>
      <c r="J2" s="920"/>
    </row>
    <row r="3" spans="2:17" s="651" customFormat="1" ht="15" x14ac:dyDescent="0.3"/>
    <row r="4" spans="2:17" s="651" customFormat="1" ht="30" x14ac:dyDescent="0.3">
      <c r="B4" s="651" t="s">
        <v>300</v>
      </c>
      <c r="D4" s="668">
        <v>44196</v>
      </c>
      <c r="E4" s="653"/>
      <c r="F4" s="668">
        <v>43830</v>
      </c>
      <c r="G4" s="653"/>
      <c r="H4" s="668" t="s">
        <v>557</v>
      </c>
      <c r="I4" s="653"/>
      <c r="J4" s="668" t="s">
        <v>554</v>
      </c>
    </row>
    <row r="5" spans="2:17" s="651" customFormat="1" ht="15" x14ac:dyDescent="0.3">
      <c r="D5" s="653"/>
      <c r="E5" s="653"/>
      <c r="F5" s="653"/>
      <c r="G5" s="653"/>
      <c r="H5" s="653"/>
      <c r="I5" s="653"/>
      <c r="J5" s="659"/>
    </row>
    <row r="6" spans="2:17" s="651" customFormat="1" ht="15" x14ac:dyDescent="0.3">
      <c r="B6" s="650" t="s">
        <v>214</v>
      </c>
      <c r="D6" s="811">
        <v>356562</v>
      </c>
      <c r="E6" s="527"/>
      <c r="F6" s="664">
        <v>359713</v>
      </c>
      <c r="G6" s="652"/>
      <c r="H6" s="666">
        <f>(D6-F6)/+F6*100</f>
        <v>-0.8759761254110916</v>
      </c>
      <c r="I6" s="658"/>
      <c r="J6" s="665">
        <f>D6-F6</f>
        <v>-3151</v>
      </c>
      <c r="L6" s="660"/>
    </row>
    <row r="7" spans="2:17" x14ac:dyDescent="0.35">
      <c r="B7" s="650" t="s">
        <v>215</v>
      </c>
      <c r="C7" s="651"/>
      <c r="D7" s="811">
        <f>+D8+D9</f>
        <v>29839</v>
      </c>
      <c r="E7" s="527"/>
      <c r="F7" s="664">
        <v>64870</v>
      </c>
      <c r="G7" s="652"/>
      <c r="H7" s="666">
        <f t="shared" ref="H7:H18" si="0">(D7-F7)/+F7*100</f>
        <v>-54.00184985355326</v>
      </c>
      <c r="I7" s="658"/>
      <c r="J7" s="665">
        <f t="shared" ref="J7:J18" si="1">D7-F7</f>
        <v>-35031</v>
      </c>
      <c r="L7" s="661"/>
      <c r="M7" s="651"/>
      <c r="N7" s="651"/>
      <c r="O7" s="653"/>
      <c r="P7" s="653"/>
      <c r="Q7" s="653"/>
    </row>
    <row r="8" spans="2:17" x14ac:dyDescent="0.35">
      <c r="B8" s="663" t="s">
        <v>221</v>
      </c>
      <c r="D8" s="812">
        <v>148609</v>
      </c>
      <c r="E8" s="528"/>
      <c r="F8" s="528">
        <v>184470</v>
      </c>
      <c r="G8" s="656"/>
      <c r="H8" s="662">
        <f t="shared" si="0"/>
        <v>-19.44001734699409</v>
      </c>
      <c r="I8" s="662"/>
      <c r="J8" s="656">
        <f t="shared" si="1"/>
        <v>-35861</v>
      </c>
      <c r="L8" s="661"/>
      <c r="M8" s="651"/>
      <c r="N8" s="651"/>
      <c r="O8" s="652"/>
      <c r="P8" s="652"/>
      <c r="Q8" s="655"/>
    </row>
    <row r="9" spans="2:17" x14ac:dyDescent="0.35">
      <c r="B9" s="663" t="s">
        <v>216</v>
      </c>
      <c r="D9" s="812">
        <v>-118770</v>
      </c>
      <c r="E9" s="528"/>
      <c r="F9" s="528">
        <v>-119600</v>
      </c>
      <c r="G9" s="656"/>
      <c r="H9" s="662">
        <f t="shared" si="0"/>
        <v>-0.69397993311036787</v>
      </c>
      <c r="I9" s="662"/>
      <c r="J9" s="656">
        <f t="shared" si="1"/>
        <v>830</v>
      </c>
      <c r="L9" s="661"/>
      <c r="M9" s="651"/>
      <c r="N9" s="651"/>
      <c r="O9" s="652"/>
      <c r="P9" s="652"/>
      <c r="Q9" s="655"/>
    </row>
    <row r="10" spans="2:17" x14ac:dyDescent="0.35">
      <c r="D10" s="812"/>
      <c r="E10" s="528"/>
      <c r="F10" s="656"/>
      <c r="G10" s="656"/>
      <c r="H10" s="662"/>
      <c r="I10" s="662"/>
      <c r="J10" s="656"/>
      <c r="L10" s="661"/>
      <c r="M10" s="651"/>
      <c r="N10" s="651"/>
      <c r="O10" s="652"/>
      <c r="P10" s="652"/>
      <c r="Q10" s="655"/>
    </row>
    <row r="11" spans="2:17" s="722" customFormat="1" ht="18" x14ac:dyDescent="0.4">
      <c r="B11" s="721" t="s">
        <v>217</v>
      </c>
      <c r="D11" s="813">
        <f>+D7+D6</f>
        <v>386401</v>
      </c>
      <c r="E11" s="546"/>
      <c r="F11" s="723">
        <v>424583</v>
      </c>
      <c r="G11" s="725"/>
      <c r="H11" s="726">
        <f t="shared" si="0"/>
        <v>-8.9928235468683386</v>
      </c>
      <c r="I11" s="727"/>
      <c r="J11" s="724">
        <f t="shared" si="1"/>
        <v>-38182</v>
      </c>
      <c r="L11" s="731"/>
      <c r="M11" s="728"/>
      <c r="N11" s="728"/>
      <c r="O11" s="732"/>
      <c r="P11" s="732"/>
      <c r="Q11" s="733"/>
    </row>
    <row r="12" spans="2:17" s="722" customFormat="1" ht="18" x14ac:dyDescent="0.4">
      <c r="D12" s="814"/>
      <c r="E12" s="546"/>
      <c r="F12" s="725"/>
      <c r="G12" s="725"/>
      <c r="H12" s="727"/>
      <c r="I12" s="727"/>
      <c r="J12" s="725"/>
      <c r="L12" s="731"/>
      <c r="M12" s="728"/>
      <c r="N12" s="728"/>
      <c r="O12" s="732"/>
      <c r="P12" s="732"/>
      <c r="Q12" s="733"/>
    </row>
    <row r="13" spans="2:17" s="651" customFormat="1" x14ac:dyDescent="0.35">
      <c r="D13" s="815"/>
      <c r="E13" s="527"/>
      <c r="F13" s="652"/>
      <c r="G13" s="652"/>
      <c r="H13" s="658"/>
      <c r="I13" s="658"/>
      <c r="J13" s="652"/>
      <c r="L13" s="660"/>
      <c r="M13" s="654"/>
      <c r="N13" s="654"/>
      <c r="O13" s="656"/>
      <c r="P13" s="656"/>
      <c r="Q13" s="657"/>
    </row>
    <row r="14" spans="2:17" x14ac:dyDescent="0.35">
      <c r="B14" s="650" t="s">
        <v>572</v>
      </c>
      <c r="C14" s="651"/>
      <c r="D14" s="811">
        <v>284215</v>
      </c>
      <c r="E14" s="527"/>
      <c r="F14" s="664">
        <v>292083</v>
      </c>
      <c r="G14" s="652"/>
      <c r="H14" s="666">
        <f t="shared" si="0"/>
        <v>-2.6937548573521908</v>
      </c>
      <c r="I14" s="658"/>
      <c r="J14" s="665">
        <f t="shared" si="1"/>
        <v>-7868</v>
      </c>
      <c r="L14" s="661"/>
      <c r="O14" s="656"/>
      <c r="P14" s="656"/>
      <c r="Q14" s="657"/>
    </row>
    <row r="15" spans="2:17" x14ac:dyDescent="0.35">
      <c r="B15" s="650" t="s">
        <v>573</v>
      </c>
      <c r="C15" s="651"/>
      <c r="D15" s="811">
        <v>84832</v>
      </c>
      <c r="E15" s="527"/>
      <c r="F15" s="664">
        <v>110171</v>
      </c>
      <c r="G15" s="652"/>
      <c r="H15" s="666">
        <f t="shared" si="0"/>
        <v>-22.999700465639776</v>
      </c>
      <c r="I15" s="658"/>
      <c r="J15" s="665">
        <f t="shared" si="1"/>
        <v>-25339</v>
      </c>
      <c r="L15" s="661"/>
      <c r="M15" s="651"/>
      <c r="N15" s="651"/>
      <c r="O15" s="652"/>
      <c r="P15" s="652"/>
      <c r="Q15" s="655"/>
    </row>
    <row r="16" spans="2:17" x14ac:dyDescent="0.35">
      <c r="B16" s="650" t="s">
        <v>218</v>
      </c>
      <c r="C16" s="651"/>
      <c r="D16" s="811">
        <v>17354</v>
      </c>
      <c r="E16" s="527"/>
      <c r="F16" s="664">
        <v>22329</v>
      </c>
      <c r="G16" s="652"/>
      <c r="H16" s="666">
        <f t="shared" si="0"/>
        <v>-22.280442473912849</v>
      </c>
      <c r="I16" s="658"/>
      <c r="J16" s="665">
        <f t="shared" si="1"/>
        <v>-4975</v>
      </c>
      <c r="L16" s="661"/>
      <c r="M16" s="651"/>
      <c r="N16" s="651"/>
      <c r="O16" s="652"/>
      <c r="P16" s="652"/>
      <c r="Q16" s="655"/>
    </row>
    <row r="17" spans="2:17" x14ac:dyDescent="0.35">
      <c r="B17" s="651"/>
      <c r="C17" s="651"/>
      <c r="D17" s="815"/>
      <c r="E17" s="527"/>
      <c r="F17" s="652"/>
      <c r="G17" s="652"/>
      <c r="H17" s="658"/>
      <c r="I17" s="658"/>
      <c r="J17" s="652"/>
      <c r="L17" s="661"/>
      <c r="M17" s="651"/>
      <c r="N17" s="651"/>
      <c r="O17" s="652"/>
      <c r="P17" s="652"/>
      <c r="Q17" s="655"/>
    </row>
    <row r="18" spans="2:17" s="728" customFormat="1" ht="18" x14ac:dyDescent="0.4">
      <c r="B18" s="721" t="s">
        <v>219</v>
      </c>
      <c r="C18" s="722"/>
      <c r="D18" s="813">
        <f>+D16+D15+D14</f>
        <v>386401</v>
      </c>
      <c r="E18" s="546"/>
      <c r="F18" s="723">
        <f>+F16+F15+F14</f>
        <v>424583</v>
      </c>
      <c r="G18" s="725"/>
      <c r="H18" s="726">
        <f t="shared" si="0"/>
        <v>-8.9928235468683386</v>
      </c>
      <c r="I18" s="727"/>
      <c r="J18" s="724">
        <f t="shared" si="1"/>
        <v>-38182</v>
      </c>
      <c r="L18" s="729"/>
      <c r="M18" s="722"/>
      <c r="N18" s="722"/>
      <c r="O18" s="725"/>
      <c r="P18" s="725"/>
      <c r="Q18" s="730"/>
    </row>
    <row r="19" spans="2:17" x14ac:dyDescent="0.35">
      <c r="B19" s="651"/>
      <c r="C19" s="651"/>
      <c r="D19" s="815"/>
      <c r="E19" s="527"/>
      <c r="F19" s="652"/>
      <c r="G19" s="652"/>
      <c r="H19" s="658"/>
      <c r="I19" s="658"/>
      <c r="J19" s="652"/>
      <c r="L19" s="661"/>
      <c r="M19" s="651"/>
      <c r="N19" s="651"/>
      <c r="O19" s="652"/>
      <c r="P19" s="652"/>
      <c r="Q19" s="655"/>
    </row>
    <row r="20" spans="2:17" x14ac:dyDescent="0.35">
      <c r="B20" s="651"/>
      <c r="C20" s="651"/>
      <c r="D20" s="815"/>
      <c r="E20" s="527"/>
      <c r="F20" s="652"/>
      <c r="G20" s="652"/>
      <c r="H20" s="658"/>
      <c r="I20" s="658"/>
      <c r="J20" s="652"/>
      <c r="L20" s="661"/>
      <c r="M20" s="651"/>
      <c r="N20" s="651"/>
      <c r="O20" s="652"/>
      <c r="P20" s="652"/>
      <c r="Q20" s="655"/>
    </row>
    <row r="21" spans="2:17" x14ac:dyDescent="0.35">
      <c r="B21" s="650" t="s">
        <v>555</v>
      </c>
      <c r="D21" s="748">
        <f>D15/D14</f>
        <v>0.29847826469398164</v>
      </c>
      <c r="E21" s="749"/>
      <c r="F21" s="748">
        <f>F15/F14</f>
        <v>0.37719073003221687</v>
      </c>
      <c r="G21" s="749"/>
      <c r="H21" s="750">
        <f>(D21-F21)/+F21*100</f>
        <v>-20.868080541510707</v>
      </c>
      <c r="I21" s="655"/>
      <c r="J21" s="667"/>
    </row>
    <row r="22" spans="2:17" x14ac:dyDescent="0.35">
      <c r="D22" s="816"/>
      <c r="E22" s="741"/>
      <c r="F22" s="741"/>
      <c r="G22" s="741"/>
      <c r="H22" s="741"/>
      <c r="I22" s="656"/>
    </row>
    <row r="23" spans="2:17" x14ac:dyDescent="0.35">
      <c r="B23" s="650" t="s">
        <v>556</v>
      </c>
      <c r="D23" s="751">
        <f>D15/50507</f>
        <v>1.6796087671015898</v>
      </c>
      <c r="E23" s="752"/>
      <c r="F23" s="751">
        <f>F15/63360</f>
        <v>1.7388099747474748</v>
      </c>
      <c r="G23" s="752"/>
      <c r="H23" s="750">
        <f t="shared" ref="H23" si="2">(D23-F23)/+F23*100</f>
        <v>-3.4046968044614943</v>
      </c>
      <c r="I23" s="655"/>
      <c r="J23" s="667"/>
    </row>
    <row r="24" spans="2:17" x14ac:dyDescent="0.35">
      <c r="D24" s="817"/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38DD5"/>
    <pageSetUpPr fitToPage="1"/>
  </sheetPr>
  <dimension ref="B2:K142"/>
  <sheetViews>
    <sheetView topLeftCell="A34" workbookViewId="0">
      <selection activeCell="L53" sqref="L53"/>
    </sheetView>
  </sheetViews>
  <sheetFormatPr baseColWidth="10" defaultRowHeight="15.5" x14ac:dyDescent="0.35"/>
  <cols>
    <col min="1" max="1" width="11" style="510"/>
    <col min="2" max="2" width="52.58203125" style="510" customWidth="1"/>
    <col min="3" max="3" width="0.83203125" style="510" customWidth="1"/>
    <col min="4" max="4" width="13.08203125" style="510" customWidth="1"/>
    <col min="5" max="5" width="0.83203125" style="510" customWidth="1"/>
    <col min="6" max="6" width="13.08203125" style="510" customWidth="1"/>
    <col min="7" max="257" width="11" style="510"/>
    <col min="258" max="258" width="52.58203125" style="510" customWidth="1"/>
    <col min="259" max="260" width="11.33203125" style="510" bestFit="1" customWidth="1"/>
    <col min="261" max="261" width="12.08203125" style="510" bestFit="1" customWidth="1"/>
    <col min="262" max="513" width="11" style="510"/>
    <col min="514" max="514" width="52.58203125" style="510" customWidth="1"/>
    <col min="515" max="516" width="11.33203125" style="510" bestFit="1" customWidth="1"/>
    <col min="517" max="517" width="12.08203125" style="510" bestFit="1" customWidth="1"/>
    <col min="518" max="769" width="11" style="510"/>
    <col min="770" max="770" width="52.58203125" style="510" customWidth="1"/>
    <col min="771" max="772" width="11.33203125" style="510" bestFit="1" customWidth="1"/>
    <col min="773" max="773" width="12.08203125" style="510" bestFit="1" customWidth="1"/>
    <col min="774" max="1025" width="11" style="510"/>
    <col min="1026" max="1026" width="52.58203125" style="510" customWidth="1"/>
    <col min="1027" max="1028" width="11.33203125" style="510" bestFit="1" customWidth="1"/>
    <col min="1029" max="1029" width="12.08203125" style="510" bestFit="1" customWidth="1"/>
    <col min="1030" max="1281" width="11" style="510"/>
    <col min="1282" max="1282" width="52.58203125" style="510" customWidth="1"/>
    <col min="1283" max="1284" width="11.33203125" style="510" bestFit="1" customWidth="1"/>
    <col min="1285" max="1285" width="12.08203125" style="510" bestFit="1" customWidth="1"/>
    <col min="1286" max="1537" width="11" style="510"/>
    <col min="1538" max="1538" width="52.58203125" style="510" customWidth="1"/>
    <col min="1539" max="1540" width="11.33203125" style="510" bestFit="1" customWidth="1"/>
    <col min="1541" max="1541" width="12.08203125" style="510" bestFit="1" customWidth="1"/>
    <col min="1542" max="1793" width="11" style="510"/>
    <col min="1794" max="1794" width="52.58203125" style="510" customWidth="1"/>
    <col min="1795" max="1796" width="11.33203125" style="510" bestFit="1" customWidth="1"/>
    <col min="1797" max="1797" width="12.08203125" style="510" bestFit="1" customWidth="1"/>
    <col min="1798" max="2049" width="11" style="510"/>
    <col min="2050" max="2050" width="52.58203125" style="510" customWidth="1"/>
    <col min="2051" max="2052" width="11.33203125" style="510" bestFit="1" customWidth="1"/>
    <col min="2053" max="2053" width="12.08203125" style="510" bestFit="1" customWidth="1"/>
    <col min="2054" max="2305" width="11" style="510"/>
    <col min="2306" max="2306" width="52.58203125" style="510" customWidth="1"/>
    <col min="2307" max="2308" width="11.33203125" style="510" bestFit="1" customWidth="1"/>
    <col min="2309" max="2309" width="12.08203125" style="510" bestFit="1" customWidth="1"/>
    <col min="2310" max="2561" width="11" style="510"/>
    <col min="2562" max="2562" width="52.58203125" style="510" customWidth="1"/>
    <col min="2563" max="2564" width="11.33203125" style="510" bestFit="1" customWidth="1"/>
    <col min="2565" max="2565" width="12.08203125" style="510" bestFit="1" customWidth="1"/>
    <col min="2566" max="2817" width="11" style="510"/>
    <col min="2818" max="2818" width="52.58203125" style="510" customWidth="1"/>
    <col min="2819" max="2820" width="11.33203125" style="510" bestFit="1" customWidth="1"/>
    <col min="2821" max="2821" width="12.08203125" style="510" bestFit="1" customWidth="1"/>
    <col min="2822" max="3073" width="11" style="510"/>
    <col min="3074" max="3074" width="52.58203125" style="510" customWidth="1"/>
    <col min="3075" max="3076" width="11.33203125" style="510" bestFit="1" customWidth="1"/>
    <col min="3077" max="3077" width="12.08203125" style="510" bestFit="1" customWidth="1"/>
    <col min="3078" max="3329" width="11" style="510"/>
    <col min="3330" max="3330" width="52.58203125" style="510" customWidth="1"/>
    <col min="3331" max="3332" width="11.33203125" style="510" bestFit="1" customWidth="1"/>
    <col min="3333" max="3333" width="12.08203125" style="510" bestFit="1" customWidth="1"/>
    <col min="3334" max="3585" width="11" style="510"/>
    <col min="3586" max="3586" width="52.58203125" style="510" customWidth="1"/>
    <col min="3587" max="3588" width="11.33203125" style="510" bestFit="1" customWidth="1"/>
    <col min="3589" max="3589" width="12.08203125" style="510" bestFit="1" customWidth="1"/>
    <col min="3590" max="3841" width="11" style="510"/>
    <col min="3842" max="3842" width="52.58203125" style="510" customWidth="1"/>
    <col min="3843" max="3844" width="11.33203125" style="510" bestFit="1" customWidth="1"/>
    <col min="3845" max="3845" width="12.08203125" style="510" bestFit="1" customWidth="1"/>
    <col min="3846" max="4097" width="11" style="510"/>
    <col min="4098" max="4098" width="52.58203125" style="510" customWidth="1"/>
    <col min="4099" max="4100" width="11.33203125" style="510" bestFit="1" customWidth="1"/>
    <col min="4101" max="4101" width="12.08203125" style="510" bestFit="1" customWidth="1"/>
    <col min="4102" max="4353" width="11" style="510"/>
    <col min="4354" max="4354" width="52.58203125" style="510" customWidth="1"/>
    <col min="4355" max="4356" width="11.33203125" style="510" bestFit="1" customWidth="1"/>
    <col min="4357" max="4357" width="12.08203125" style="510" bestFit="1" customWidth="1"/>
    <col min="4358" max="4609" width="11" style="510"/>
    <col min="4610" max="4610" width="52.58203125" style="510" customWidth="1"/>
    <col min="4611" max="4612" width="11.33203125" style="510" bestFit="1" customWidth="1"/>
    <col min="4613" max="4613" width="12.08203125" style="510" bestFit="1" customWidth="1"/>
    <col min="4614" max="4865" width="11" style="510"/>
    <col min="4866" max="4866" width="52.58203125" style="510" customWidth="1"/>
    <col min="4867" max="4868" width="11.33203125" style="510" bestFit="1" customWidth="1"/>
    <col min="4869" max="4869" width="12.08203125" style="510" bestFit="1" customWidth="1"/>
    <col min="4870" max="5121" width="11" style="510"/>
    <col min="5122" max="5122" width="52.58203125" style="510" customWidth="1"/>
    <col min="5123" max="5124" width="11.33203125" style="510" bestFit="1" customWidth="1"/>
    <col min="5125" max="5125" width="12.08203125" style="510" bestFit="1" customWidth="1"/>
    <col min="5126" max="5377" width="11" style="510"/>
    <col min="5378" max="5378" width="52.58203125" style="510" customWidth="1"/>
    <col min="5379" max="5380" width="11.33203125" style="510" bestFit="1" customWidth="1"/>
    <col min="5381" max="5381" width="12.08203125" style="510" bestFit="1" customWidth="1"/>
    <col min="5382" max="5633" width="11" style="510"/>
    <col min="5634" max="5634" width="52.58203125" style="510" customWidth="1"/>
    <col min="5635" max="5636" width="11.33203125" style="510" bestFit="1" customWidth="1"/>
    <col min="5637" max="5637" width="12.08203125" style="510" bestFit="1" customWidth="1"/>
    <col min="5638" max="5889" width="11" style="510"/>
    <col min="5890" max="5890" width="52.58203125" style="510" customWidth="1"/>
    <col min="5891" max="5892" width="11.33203125" style="510" bestFit="1" customWidth="1"/>
    <col min="5893" max="5893" width="12.08203125" style="510" bestFit="1" customWidth="1"/>
    <col min="5894" max="6145" width="11" style="510"/>
    <col min="6146" max="6146" width="52.58203125" style="510" customWidth="1"/>
    <col min="6147" max="6148" width="11.33203125" style="510" bestFit="1" customWidth="1"/>
    <col min="6149" max="6149" width="12.08203125" style="510" bestFit="1" customWidth="1"/>
    <col min="6150" max="6401" width="11" style="510"/>
    <col min="6402" max="6402" width="52.58203125" style="510" customWidth="1"/>
    <col min="6403" max="6404" width="11.33203125" style="510" bestFit="1" customWidth="1"/>
    <col min="6405" max="6405" width="12.08203125" style="510" bestFit="1" customWidth="1"/>
    <col min="6406" max="6657" width="11" style="510"/>
    <col min="6658" max="6658" width="52.58203125" style="510" customWidth="1"/>
    <col min="6659" max="6660" width="11.33203125" style="510" bestFit="1" customWidth="1"/>
    <col min="6661" max="6661" width="12.08203125" style="510" bestFit="1" customWidth="1"/>
    <col min="6662" max="6913" width="11" style="510"/>
    <col min="6914" max="6914" width="52.58203125" style="510" customWidth="1"/>
    <col min="6915" max="6916" width="11.33203125" style="510" bestFit="1" customWidth="1"/>
    <col min="6917" max="6917" width="12.08203125" style="510" bestFit="1" customWidth="1"/>
    <col min="6918" max="7169" width="11" style="510"/>
    <col min="7170" max="7170" width="52.58203125" style="510" customWidth="1"/>
    <col min="7171" max="7172" width="11.33203125" style="510" bestFit="1" customWidth="1"/>
    <col min="7173" max="7173" width="12.08203125" style="510" bestFit="1" customWidth="1"/>
    <col min="7174" max="7425" width="11" style="510"/>
    <col min="7426" max="7426" width="52.58203125" style="510" customWidth="1"/>
    <col min="7427" max="7428" width="11.33203125" style="510" bestFit="1" customWidth="1"/>
    <col min="7429" max="7429" width="12.08203125" style="510" bestFit="1" customWidth="1"/>
    <col min="7430" max="7681" width="11" style="510"/>
    <col min="7682" max="7682" width="52.58203125" style="510" customWidth="1"/>
    <col min="7683" max="7684" width="11.33203125" style="510" bestFit="1" customWidth="1"/>
    <col min="7685" max="7685" width="12.08203125" style="510" bestFit="1" customWidth="1"/>
    <col min="7686" max="7937" width="11" style="510"/>
    <col min="7938" max="7938" width="52.58203125" style="510" customWidth="1"/>
    <col min="7939" max="7940" width="11.33203125" style="510" bestFit="1" customWidth="1"/>
    <col min="7941" max="7941" width="12.08203125" style="510" bestFit="1" customWidth="1"/>
    <col min="7942" max="8193" width="11" style="510"/>
    <col min="8194" max="8194" width="52.58203125" style="510" customWidth="1"/>
    <col min="8195" max="8196" width="11.33203125" style="510" bestFit="1" customWidth="1"/>
    <col min="8197" max="8197" width="12.08203125" style="510" bestFit="1" customWidth="1"/>
    <col min="8198" max="8449" width="11" style="510"/>
    <col min="8450" max="8450" width="52.58203125" style="510" customWidth="1"/>
    <col min="8451" max="8452" width="11.33203125" style="510" bestFit="1" customWidth="1"/>
    <col min="8453" max="8453" width="12.08203125" style="510" bestFit="1" customWidth="1"/>
    <col min="8454" max="8705" width="11" style="510"/>
    <col min="8706" max="8706" width="52.58203125" style="510" customWidth="1"/>
    <col min="8707" max="8708" width="11.33203125" style="510" bestFit="1" customWidth="1"/>
    <col min="8709" max="8709" width="12.08203125" style="510" bestFit="1" customWidth="1"/>
    <col min="8710" max="8961" width="11" style="510"/>
    <col min="8962" max="8962" width="52.58203125" style="510" customWidth="1"/>
    <col min="8963" max="8964" width="11.33203125" style="510" bestFit="1" customWidth="1"/>
    <col min="8965" max="8965" width="12.08203125" style="510" bestFit="1" customWidth="1"/>
    <col min="8966" max="9217" width="11" style="510"/>
    <col min="9218" max="9218" width="52.58203125" style="510" customWidth="1"/>
    <col min="9219" max="9220" width="11.33203125" style="510" bestFit="1" customWidth="1"/>
    <col min="9221" max="9221" width="12.08203125" style="510" bestFit="1" customWidth="1"/>
    <col min="9222" max="9473" width="11" style="510"/>
    <col min="9474" max="9474" width="52.58203125" style="510" customWidth="1"/>
    <col min="9475" max="9476" width="11.33203125" style="510" bestFit="1" customWidth="1"/>
    <col min="9477" max="9477" width="12.08203125" style="510" bestFit="1" customWidth="1"/>
    <col min="9478" max="9729" width="11" style="510"/>
    <col min="9730" max="9730" width="52.58203125" style="510" customWidth="1"/>
    <col min="9731" max="9732" width="11.33203125" style="510" bestFit="1" customWidth="1"/>
    <col min="9733" max="9733" width="12.08203125" style="510" bestFit="1" customWidth="1"/>
    <col min="9734" max="9985" width="11" style="510"/>
    <col min="9986" max="9986" width="52.58203125" style="510" customWidth="1"/>
    <col min="9987" max="9988" width="11.33203125" style="510" bestFit="1" customWidth="1"/>
    <col min="9989" max="9989" width="12.08203125" style="510" bestFit="1" customWidth="1"/>
    <col min="9990" max="10241" width="11" style="510"/>
    <col min="10242" max="10242" width="52.58203125" style="510" customWidth="1"/>
    <col min="10243" max="10244" width="11.33203125" style="510" bestFit="1" customWidth="1"/>
    <col min="10245" max="10245" width="12.08203125" style="510" bestFit="1" customWidth="1"/>
    <col min="10246" max="10497" width="11" style="510"/>
    <col min="10498" max="10498" width="52.58203125" style="510" customWidth="1"/>
    <col min="10499" max="10500" width="11.33203125" style="510" bestFit="1" customWidth="1"/>
    <col min="10501" max="10501" width="12.08203125" style="510" bestFit="1" customWidth="1"/>
    <col min="10502" max="10753" width="11" style="510"/>
    <col min="10754" max="10754" width="52.58203125" style="510" customWidth="1"/>
    <col min="10755" max="10756" width="11.33203125" style="510" bestFit="1" customWidth="1"/>
    <col min="10757" max="10757" width="12.08203125" style="510" bestFit="1" customWidth="1"/>
    <col min="10758" max="11009" width="11" style="510"/>
    <col min="11010" max="11010" width="52.58203125" style="510" customWidth="1"/>
    <col min="11011" max="11012" width="11.33203125" style="510" bestFit="1" customWidth="1"/>
    <col min="11013" max="11013" width="12.08203125" style="510" bestFit="1" customWidth="1"/>
    <col min="11014" max="11265" width="11" style="510"/>
    <col min="11266" max="11266" width="52.58203125" style="510" customWidth="1"/>
    <col min="11267" max="11268" width="11.33203125" style="510" bestFit="1" customWidth="1"/>
    <col min="11269" max="11269" width="12.08203125" style="510" bestFit="1" customWidth="1"/>
    <col min="11270" max="11521" width="11" style="510"/>
    <col min="11522" max="11522" width="52.58203125" style="510" customWidth="1"/>
    <col min="11523" max="11524" width="11.33203125" style="510" bestFit="1" customWidth="1"/>
    <col min="11525" max="11525" width="12.08203125" style="510" bestFit="1" customWidth="1"/>
    <col min="11526" max="11777" width="11" style="510"/>
    <col min="11778" max="11778" width="52.58203125" style="510" customWidth="1"/>
    <col min="11779" max="11780" width="11.33203125" style="510" bestFit="1" customWidth="1"/>
    <col min="11781" max="11781" width="12.08203125" style="510" bestFit="1" customWidth="1"/>
    <col min="11782" max="12033" width="11" style="510"/>
    <col min="12034" max="12034" width="52.58203125" style="510" customWidth="1"/>
    <col min="12035" max="12036" width="11.33203125" style="510" bestFit="1" customWidth="1"/>
    <col min="12037" max="12037" width="12.08203125" style="510" bestFit="1" customWidth="1"/>
    <col min="12038" max="12289" width="11" style="510"/>
    <col min="12290" max="12290" width="52.58203125" style="510" customWidth="1"/>
    <col min="12291" max="12292" width="11.33203125" style="510" bestFit="1" customWidth="1"/>
    <col min="12293" max="12293" width="12.08203125" style="510" bestFit="1" customWidth="1"/>
    <col min="12294" max="12545" width="11" style="510"/>
    <col min="12546" max="12546" width="52.58203125" style="510" customWidth="1"/>
    <col min="12547" max="12548" width="11.33203125" style="510" bestFit="1" customWidth="1"/>
    <col min="12549" max="12549" width="12.08203125" style="510" bestFit="1" customWidth="1"/>
    <col min="12550" max="12801" width="11" style="510"/>
    <col min="12802" max="12802" width="52.58203125" style="510" customWidth="1"/>
    <col min="12803" max="12804" width="11.33203125" style="510" bestFit="1" customWidth="1"/>
    <col min="12805" max="12805" width="12.08203125" style="510" bestFit="1" customWidth="1"/>
    <col min="12806" max="13057" width="11" style="510"/>
    <col min="13058" max="13058" width="52.58203125" style="510" customWidth="1"/>
    <col min="13059" max="13060" width="11.33203125" style="510" bestFit="1" customWidth="1"/>
    <col min="13061" max="13061" width="12.08203125" style="510" bestFit="1" customWidth="1"/>
    <col min="13062" max="13313" width="11" style="510"/>
    <col min="13314" max="13314" width="52.58203125" style="510" customWidth="1"/>
    <col min="13315" max="13316" width="11.33203125" style="510" bestFit="1" customWidth="1"/>
    <col min="13317" max="13317" width="12.08203125" style="510" bestFit="1" customWidth="1"/>
    <col min="13318" max="13569" width="11" style="510"/>
    <col min="13570" max="13570" width="52.58203125" style="510" customWidth="1"/>
    <col min="13571" max="13572" width="11.33203125" style="510" bestFit="1" customWidth="1"/>
    <col min="13573" max="13573" width="12.08203125" style="510" bestFit="1" customWidth="1"/>
    <col min="13574" max="13825" width="11" style="510"/>
    <col min="13826" max="13826" width="52.58203125" style="510" customWidth="1"/>
    <col min="13827" max="13828" width="11.33203125" style="510" bestFit="1" customWidth="1"/>
    <col min="13829" max="13829" width="12.08203125" style="510" bestFit="1" customWidth="1"/>
    <col min="13830" max="14081" width="11" style="510"/>
    <col min="14082" max="14082" width="52.58203125" style="510" customWidth="1"/>
    <col min="14083" max="14084" width="11.33203125" style="510" bestFit="1" customWidth="1"/>
    <col min="14085" max="14085" width="12.08203125" style="510" bestFit="1" customWidth="1"/>
    <col min="14086" max="14337" width="11" style="510"/>
    <col min="14338" max="14338" width="52.58203125" style="510" customWidth="1"/>
    <col min="14339" max="14340" width="11.33203125" style="510" bestFit="1" customWidth="1"/>
    <col min="14341" max="14341" width="12.08203125" style="510" bestFit="1" customWidth="1"/>
    <col min="14342" max="14593" width="11" style="510"/>
    <col min="14594" max="14594" width="52.58203125" style="510" customWidth="1"/>
    <col min="14595" max="14596" width="11.33203125" style="510" bestFit="1" customWidth="1"/>
    <col min="14597" max="14597" width="12.08203125" style="510" bestFit="1" customWidth="1"/>
    <col min="14598" max="14849" width="11" style="510"/>
    <col min="14850" max="14850" width="52.58203125" style="510" customWidth="1"/>
    <col min="14851" max="14852" width="11.33203125" style="510" bestFit="1" customWidth="1"/>
    <col min="14853" max="14853" width="12.08203125" style="510" bestFit="1" customWidth="1"/>
    <col min="14854" max="15105" width="11" style="510"/>
    <col min="15106" max="15106" width="52.58203125" style="510" customWidth="1"/>
    <col min="15107" max="15108" width="11.33203125" style="510" bestFit="1" customWidth="1"/>
    <col min="15109" max="15109" width="12.08203125" style="510" bestFit="1" customWidth="1"/>
    <col min="15110" max="15361" width="11" style="510"/>
    <col min="15362" max="15362" width="52.58203125" style="510" customWidth="1"/>
    <col min="15363" max="15364" width="11.33203125" style="510" bestFit="1" customWidth="1"/>
    <col min="15365" max="15365" width="12.08203125" style="510" bestFit="1" customWidth="1"/>
    <col min="15366" max="15617" width="11" style="510"/>
    <col min="15618" max="15618" width="52.58203125" style="510" customWidth="1"/>
    <col min="15619" max="15620" width="11.33203125" style="510" bestFit="1" customWidth="1"/>
    <col min="15621" max="15621" width="12.08203125" style="510" bestFit="1" customWidth="1"/>
    <col min="15622" max="15873" width="11" style="510"/>
    <col min="15874" max="15874" width="52.58203125" style="510" customWidth="1"/>
    <col min="15875" max="15876" width="11.33203125" style="510" bestFit="1" customWidth="1"/>
    <col min="15877" max="15877" width="12.08203125" style="510" bestFit="1" customWidth="1"/>
    <col min="15878" max="16129" width="11" style="510"/>
    <col min="16130" max="16130" width="52.58203125" style="510" customWidth="1"/>
    <col min="16131" max="16132" width="11.33203125" style="510" bestFit="1" customWidth="1"/>
    <col min="16133" max="16133" width="12.08203125" style="510" bestFit="1" customWidth="1"/>
    <col min="16134" max="16384" width="11" style="510"/>
  </cols>
  <sheetData>
    <row r="2" spans="2:6" ht="20" x14ac:dyDescent="0.35">
      <c r="B2" s="920" t="s">
        <v>642</v>
      </c>
      <c r="C2" s="920"/>
      <c r="D2" s="920"/>
      <c r="E2" s="920"/>
      <c r="F2" s="920"/>
    </row>
    <row r="3" spans="2:6" ht="17.5" x14ac:dyDescent="0.35">
      <c r="B3" s="611"/>
      <c r="C3" s="611"/>
      <c r="D3" s="611"/>
      <c r="E3" s="611"/>
      <c r="F3" s="611"/>
    </row>
    <row r="4" spans="2:6" x14ac:dyDescent="0.35">
      <c r="B4" s="669"/>
      <c r="C4" s="669"/>
      <c r="D4" s="551" t="s">
        <v>647</v>
      </c>
      <c r="E4" s="560"/>
      <c r="F4" s="551" t="s">
        <v>631</v>
      </c>
    </row>
    <row r="5" spans="2:6" x14ac:dyDescent="0.35">
      <c r="B5" s="669"/>
      <c r="C5" s="669"/>
      <c r="D5" s="670"/>
      <c r="E5" s="670"/>
      <c r="F5" s="670"/>
    </row>
    <row r="6" spans="2:6" x14ac:dyDescent="0.35">
      <c r="B6" s="672" t="s">
        <v>242</v>
      </c>
      <c r="C6" s="669"/>
      <c r="D6" s="800"/>
      <c r="E6" s="670"/>
      <c r="F6" s="673"/>
    </row>
    <row r="7" spans="2:6" ht="18.5" x14ac:dyDescent="0.35">
      <c r="B7" s="595" t="s">
        <v>648</v>
      </c>
      <c r="C7" s="671"/>
      <c r="D7" s="818">
        <v>0.3</v>
      </c>
      <c r="E7" s="674"/>
      <c r="F7" s="674">
        <v>0.38</v>
      </c>
    </row>
    <row r="8" spans="2:6" ht="18.5" x14ac:dyDescent="0.35">
      <c r="B8" s="595" t="s">
        <v>649</v>
      </c>
      <c r="C8" s="671"/>
      <c r="D8" s="818">
        <v>1.68</v>
      </c>
      <c r="E8" s="674"/>
      <c r="F8" s="674">
        <v>1.74</v>
      </c>
    </row>
    <row r="9" spans="2:6" x14ac:dyDescent="0.35">
      <c r="B9" s="670" t="s">
        <v>241</v>
      </c>
      <c r="C9" s="670"/>
      <c r="D9" s="818">
        <v>1.17</v>
      </c>
      <c r="E9" s="674"/>
      <c r="F9" s="674">
        <v>1.03</v>
      </c>
    </row>
    <row r="10" spans="2:6" x14ac:dyDescent="0.35">
      <c r="B10" s="670" t="s">
        <v>303</v>
      </c>
      <c r="C10" s="670"/>
      <c r="D10" s="818">
        <v>1.07</v>
      </c>
      <c r="E10" s="674"/>
      <c r="F10" s="674">
        <v>1.02</v>
      </c>
    </row>
    <row r="11" spans="2:6" x14ac:dyDescent="0.35">
      <c r="B11" s="670" t="s">
        <v>240</v>
      </c>
      <c r="C11" s="670"/>
      <c r="D11" s="818">
        <v>3.87</v>
      </c>
      <c r="E11" s="675"/>
      <c r="F11" s="675">
        <v>6.76</v>
      </c>
    </row>
    <row r="12" spans="2:6" x14ac:dyDescent="0.35">
      <c r="B12" s="670" t="s">
        <v>239</v>
      </c>
      <c r="C12" s="670"/>
      <c r="D12" s="818">
        <v>62.85</v>
      </c>
      <c r="E12" s="674"/>
      <c r="F12" s="674">
        <v>61</v>
      </c>
    </row>
    <row r="13" spans="2:6" x14ac:dyDescent="0.35">
      <c r="B13" s="670" t="s">
        <v>238</v>
      </c>
      <c r="C13" s="670"/>
      <c r="D13" s="818">
        <v>61.69</v>
      </c>
      <c r="E13" s="676"/>
      <c r="F13" s="674">
        <v>53.74</v>
      </c>
    </row>
    <row r="14" spans="2:6" x14ac:dyDescent="0.35">
      <c r="B14" s="670"/>
      <c r="C14" s="670"/>
      <c r="D14" s="801"/>
      <c r="E14" s="676"/>
      <c r="F14" s="676"/>
    </row>
    <row r="15" spans="2:6" x14ac:dyDescent="0.35">
      <c r="B15" s="672" t="s">
        <v>237</v>
      </c>
      <c r="C15" s="669"/>
      <c r="D15" s="802"/>
      <c r="E15" s="678"/>
      <c r="F15" s="677"/>
    </row>
    <row r="16" spans="2:6" x14ac:dyDescent="0.35">
      <c r="B16" s="670" t="s">
        <v>304</v>
      </c>
      <c r="C16" s="670"/>
      <c r="D16" s="819">
        <v>1457</v>
      </c>
      <c r="E16" s="679"/>
      <c r="F16" s="679">
        <v>1488</v>
      </c>
    </row>
    <row r="17" spans="2:11" x14ac:dyDescent="0.35">
      <c r="B17" s="670" t="s">
        <v>640</v>
      </c>
      <c r="C17" s="670"/>
      <c r="D17" s="819">
        <v>133897</v>
      </c>
      <c r="E17" s="679"/>
      <c r="F17" s="679">
        <v>144031</v>
      </c>
    </row>
    <row r="18" spans="2:11" x14ac:dyDescent="0.35">
      <c r="B18" s="670" t="s">
        <v>236</v>
      </c>
      <c r="C18" s="670"/>
      <c r="D18" s="819">
        <v>103236</v>
      </c>
      <c r="E18" s="679"/>
      <c r="F18" s="679">
        <v>111049</v>
      </c>
    </row>
    <row r="19" spans="2:11" x14ac:dyDescent="0.35">
      <c r="B19" s="670" t="s">
        <v>235</v>
      </c>
      <c r="C19" s="670"/>
      <c r="D19" s="818">
        <v>54.22</v>
      </c>
      <c r="E19" s="674"/>
      <c r="F19" s="674">
        <v>50.14</v>
      </c>
    </row>
    <row r="20" spans="2:11" x14ac:dyDescent="0.35">
      <c r="B20" s="670" t="s">
        <v>307</v>
      </c>
      <c r="C20" s="670"/>
      <c r="D20" s="818">
        <v>8.8800000000000008</v>
      </c>
      <c r="E20" s="674"/>
      <c r="F20" s="674">
        <v>9.4600000000000009</v>
      </c>
      <c r="K20" s="745"/>
    </row>
    <row r="21" spans="2:11" x14ac:dyDescent="0.35">
      <c r="B21" s="670"/>
      <c r="C21" s="670"/>
      <c r="D21" s="801"/>
      <c r="E21" s="676"/>
      <c r="F21" s="676"/>
      <c r="K21" s="746"/>
    </row>
    <row r="22" spans="2:11" x14ac:dyDescent="0.35">
      <c r="B22" s="672" t="s">
        <v>234</v>
      </c>
      <c r="C22" s="669"/>
      <c r="D22" s="802"/>
      <c r="E22" s="678"/>
      <c r="F22" s="677"/>
      <c r="K22" s="745"/>
    </row>
    <row r="23" spans="2:11" x14ac:dyDescent="0.35">
      <c r="B23" s="670" t="s">
        <v>233</v>
      </c>
      <c r="C23" s="670"/>
      <c r="D23" s="820">
        <v>2.16</v>
      </c>
      <c r="E23" s="676"/>
      <c r="F23" s="676">
        <v>2.56</v>
      </c>
      <c r="K23" s="746"/>
    </row>
    <row r="24" spans="2:11" x14ac:dyDescent="0.35">
      <c r="B24" s="670" t="s">
        <v>305</v>
      </c>
      <c r="C24" s="670"/>
      <c r="D24" s="679">
        <v>218098</v>
      </c>
      <c r="E24" s="679"/>
      <c r="F24" s="679">
        <v>268585</v>
      </c>
      <c r="K24" s="747"/>
    </row>
    <row r="25" spans="2:11" ht="18.5" x14ac:dyDescent="0.35">
      <c r="B25" s="670" t="s">
        <v>641</v>
      </c>
      <c r="C25" s="670"/>
      <c r="D25" s="680">
        <v>6.0999999999999999E-2</v>
      </c>
      <c r="E25" s="680"/>
      <c r="F25" s="680">
        <v>0.29199999999999998</v>
      </c>
    </row>
    <row r="26" spans="2:11" x14ac:dyDescent="0.35">
      <c r="B26" s="670" t="s">
        <v>232</v>
      </c>
      <c r="C26" s="670"/>
      <c r="D26" s="674">
        <v>0.74</v>
      </c>
      <c r="E26" s="674"/>
      <c r="F26" s="674">
        <v>0.56999999999999995</v>
      </c>
    </row>
    <row r="27" spans="2:11" x14ac:dyDescent="0.35">
      <c r="B27" s="670" t="s">
        <v>231</v>
      </c>
      <c r="C27" s="670"/>
      <c r="D27" s="861">
        <v>34.86</v>
      </c>
      <c r="E27" s="674"/>
      <c r="F27" s="674">
        <v>8.65</v>
      </c>
    </row>
    <row r="28" spans="2:11" x14ac:dyDescent="0.35">
      <c r="B28" s="698" t="s">
        <v>18</v>
      </c>
      <c r="C28" s="698"/>
      <c r="D28" s="821">
        <v>0.77</v>
      </c>
      <c r="E28" s="699"/>
      <c r="F28" s="699">
        <v>0.92</v>
      </c>
    </row>
    <row r="29" spans="2:11" x14ac:dyDescent="0.35">
      <c r="B29" s="670"/>
      <c r="C29" s="670"/>
      <c r="D29" s="674"/>
      <c r="E29" s="674"/>
      <c r="F29" s="674"/>
    </row>
    <row r="30" spans="2:11" x14ac:dyDescent="0.35">
      <c r="B30" s="745"/>
      <c r="C30" s="670"/>
      <c r="D30" s="557"/>
      <c r="E30" s="557"/>
      <c r="F30" s="557"/>
    </row>
    <row r="31" spans="2:11" x14ac:dyDescent="0.35">
      <c r="B31" s="746" t="s">
        <v>650</v>
      </c>
      <c r="C31" s="670"/>
      <c r="D31" s="557"/>
      <c r="E31" s="557"/>
      <c r="F31" s="557"/>
    </row>
    <row r="33" spans="2:9" x14ac:dyDescent="0.35">
      <c r="B33" s="747" t="s">
        <v>643</v>
      </c>
    </row>
    <row r="34" spans="2:9" x14ac:dyDescent="0.35">
      <c r="B34" s="734"/>
    </row>
    <row r="35" spans="2:9" x14ac:dyDescent="0.35">
      <c r="B35" s="937" t="s">
        <v>578</v>
      </c>
      <c r="C35" s="937"/>
      <c r="D35" s="937"/>
      <c r="E35" s="937"/>
      <c r="F35" s="937"/>
      <c r="G35" s="937"/>
      <c r="H35" s="937"/>
      <c r="I35" s="937"/>
    </row>
    <row r="36" spans="2:9" x14ac:dyDescent="0.35">
      <c r="B36" s="939" t="s">
        <v>579</v>
      </c>
      <c r="C36" s="939"/>
      <c r="D36" s="939"/>
      <c r="E36" s="939"/>
      <c r="F36" s="939"/>
      <c r="G36" s="939"/>
      <c r="H36" s="939"/>
      <c r="I36" s="939"/>
    </row>
    <row r="37" spans="2:9" x14ac:dyDescent="0.35">
      <c r="B37" s="939" t="s">
        <v>580</v>
      </c>
      <c r="C37" s="939"/>
      <c r="D37" s="939"/>
      <c r="E37" s="939"/>
      <c r="F37" s="939"/>
      <c r="G37" s="939"/>
      <c r="H37" s="939"/>
      <c r="I37" s="939"/>
    </row>
    <row r="38" spans="2:9" x14ac:dyDescent="0.35">
      <c r="B38" s="939"/>
      <c r="C38" s="939"/>
      <c r="D38" s="939"/>
      <c r="E38" s="939"/>
      <c r="F38" s="939"/>
      <c r="G38" s="939"/>
      <c r="H38" s="939"/>
      <c r="I38" s="939"/>
    </row>
    <row r="39" spans="2:9" x14ac:dyDescent="0.35">
      <c r="B39" s="937" t="s">
        <v>581</v>
      </c>
      <c r="C39" s="937"/>
      <c r="D39" s="937"/>
      <c r="E39" s="937"/>
      <c r="F39" s="937"/>
      <c r="G39" s="937"/>
      <c r="H39" s="937"/>
      <c r="I39" s="937"/>
    </row>
    <row r="40" spans="2:9" x14ac:dyDescent="0.35">
      <c r="B40" s="939" t="s">
        <v>582</v>
      </c>
      <c r="C40" s="939"/>
      <c r="D40" s="939"/>
      <c r="E40" s="939"/>
      <c r="F40" s="939"/>
      <c r="G40" s="939"/>
      <c r="H40" s="939"/>
      <c r="I40" s="939"/>
    </row>
    <row r="41" spans="2:9" x14ac:dyDescent="0.35">
      <c r="B41" s="939" t="s">
        <v>583</v>
      </c>
      <c r="C41" s="939"/>
      <c r="D41" s="939"/>
      <c r="E41" s="939"/>
      <c r="F41" s="939"/>
      <c r="G41" s="939"/>
      <c r="H41" s="939"/>
      <c r="I41" s="939"/>
    </row>
    <row r="42" spans="2:9" x14ac:dyDescent="0.35">
      <c r="B42" s="735"/>
      <c r="C42" s="735"/>
      <c r="D42" s="735"/>
      <c r="E42" s="735"/>
      <c r="F42" s="735"/>
      <c r="G42" s="735"/>
      <c r="H42" s="735"/>
      <c r="I42" s="735"/>
    </row>
    <row r="43" spans="2:9" x14ac:dyDescent="0.35">
      <c r="B43" s="937" t="s">
        <v>584</v>
      </c>
      <c r="C43" s="937"/>
      <c r="D43" s="937"/>
      <c r="E43" s="937"/>
      <c r="F43" s="937"/>
      <c r="G43" s="937"/>
      <c r="H43" s="937"/>
      <c r="I43" s="937"/>
    </row>
    <row r="44" spans="2:9" x14ac:dyDescent="0.35">
      <c r="B44" s="937" t="s">
        <v>585</v>
      </c>
      <c r="C44" s="937"/>
      <c r="D44" s="937"/>
      <c r="E44" s="937"/>
      <c r="F44" s="937"/>
      <c r="G44" s="937"/>
      <c r="H44" s="937"/>
      <c r="I44" s="937"/>
    </row>
    <row r="45" spans="2:9" x14ac:dyDescent="0.35">
      <c r="B45" s="937" t="s">
        <v>586</v>
      </c>
      <c r="C45" s="937"/>
      <c r="D45" s="937"/>
      <c r="E45" s="937"/>
      <c r="F45" s="937"/>
      <c r="G45" s="937"/>
      <c r="H45" s="937"/>
      <c r="I45" s="937"/>
    </row>
    <row r="46" spans="2:9" x14ac:dyDescent="0.35">
      <c r="B46" s="937"/>
      <c r="C46" s="937"/>
      <c r="D46" s="937"/>
      <c r="E46" s="937"/>
      <c r="F46" s="937"/>
      <c r="G46" s="937"/>
      <c r="H46" s="937"/>
      <c r="I46" s="937"/>
    </row>
    <row r="47" spans="2:9" x14ac:dyDescent="0.35">
      <c r="B47" s="937" t="s">
        <v>587</v>
      </c>
      <c r="C47" s="937"/>
      <c r="D47" s="937"/>
      <c r="E47" s="937"/>
      <c r="F47" s="937"/>
      <c r="G47" s="937"/>
      <c r="H47" s="937"/>
      <c r="I47" s="937"/>
    </row>
    <row r="48" spans="2:9" x14ac:dyDescent="0.35">
      <c r="B48" s="939" t="s">
        <v>588</v>
      </c>
      <c r="C48" s="937"/>
      <c r="D48" s="937"/>
      <c r="E48" s="937"/>
      <c r="F48" s="937"/>
      <c r="G48" s="937"/>
      <c r="H48" s="937"/>
      <c r="I48" s="937"/>
    </row>
    <row r="49" spans="2:9" x14ac:dyDescent="0.35">
      <c r="B49" s="937" t="s">
        <v>589</v>
      </c>
      <c r="C49" s="937"/>
      <c r="D49" s="937"/>
      <c r="E49" s="937"/>
      <c r="F49" s="937"/>
      <c r="G49" s="937"/>
      <c r="H49" s="937"/>
      <c r="I49" s="937"/>
    </row>
    <row r="50" spans="2:9" x14ac:dyDescent="0.35">
      <c r="B50" s="937"/>
      <c r="C50" s="937"/>
      <c r="D50" s="937"/>
      <c r="E50" s="937"/>
      <c r="F50" s="937"/>
      <c r="G50" s="937"/>
      <c r="H50" s="937"/>
      <c r="I50" s="937"/>
    </row>
    <row r="51" spans="2:9" x14ac:dyDescent="0.35">
      <c r="B51" s="937" t="s">
        <v>590</v>
      </c>
      <c r="C51" s="937"/>
      <c r="D51" s="937"/>
      <c r="E51" s="937"/>
      <c r="F51" s="937"/>
      <c r="G51" s="937"/>
      <c r="H51" s="937"/>
      <c r="I51" s="937"/>
    </row>
    <row r="52" spans="2:9" x14ac:dyDescent="0.35">
      <c r="B52" s="939" t="s">
        <v>591</v>
      </c>
      <c r="C52" s="937"/>
      <c r="D52" s="937"/>
      <c r="E52" s="937"/>
      <c r="F52" s="937"/>
      <c r="G52" s="937"/>
      <c r="H52" s="937"/>
      <c r="I52" s="937"/>
    </row>
    <row r="53" spans="2:9" x14ac:dyDescent="0.35">
      <c r="B53" s="939" t="s">
        <v>592</v>
      </c>
      <c r="C53" s="937"/>
      <c r="D53" s="937"/>
      <c r="E53" s="937"/>
      <c r="F53" s="937"/>
      <c r="G53" s="937"/>
      <c r="H53" s="937"/>
      <c r="I53" s="937"/>
    </row>
    <row r="54" spans="2:9" x14ac:dyDescent="0.35">
      <c r="B54" s="937"/>
      <c r="C54" s="937"/>
      <c r="D54" s="937"/>
      <c r="E54" s="937"/>
      <c r="F54" s="937"/>
      <c r="G54" s="937"/>
      <c r="H54" s="937"/>
      <c r="I54" s="937"/>
    </row>
    <row r="55" spans="2:9" x14ac:dyDescent="0.35">
      <c r="B55" s="937" t="s">
        <v>593</v>
      </c>
      <c r="C55" s="937"/>
      <c r="D55" s="937"/>
      <c r="E55" s="937"/>
      <c r="F55" s="937"/>
      <c r="G55" s="937"/>
      <c r="H55" s="937"/>
      <c r="I55" s="937"/>
    </row>
    <row r="56" spans="2:9" x14ac:dyDescent="0.35">
      <c r="B56" s="937" t="s">
        <v>594</v>
      </c>
      <c r="C56" s="937"/>
      <c r="D56" s="937"/>
      <c r="E56" s="937"/>
      <c r="F56" s="937"/>
      <c r="G56" s="937"/>
      <c r="H56" s="937"/>
      <c r="I56" s="937"/>
    </row>
    <row r="57" spans="2:9" x14ac:dyDescent="0.35">
      <c r="B57" s="937" t="s">
        <v>595</v>
      </c>
      <c r="C57" s="937"/>
      <c r="D57" s="937"/>
      <c r="E57" s="937"/>
      <c r="F57" s="937"/>
      <c r="G57" s="937"/>
      <c r="H57" s="937"/>
      <c r="I57" s="937"/>
    </row>
    <row r="58" spans="2:9" x14ac:dyDescent="0.35">
      <c r="B58" s="937"/>
      <c r="C58" s="937"/>
      <c r="D58" s="937"/>
      <c r="E58" s="937"/>
      <c r="F58" s="937"/>
      <c r="G58" s="937"/>
      <c r="H58" s="937"/>
      <c r="I58" s="937"/>
    </row>
    <row r="59" spans="2:9" x14ac:dyDescent="0.35">
      <c r="B59" s="937" t="s">
        <v>596</v>
      </c>
      <c r="C59" s="937"/>
      <c r="D59" s="937"/>
      <c r="E59" s="937"/>
      <c r="F59" s="937"/>
      <c r="G59" s="937"/>
      <c r="H59" s="937"/>
      <c r="I59" s="937"/>
    </row>
    <row r="60" spans="2:9" x14ac:dyDescent="0.35">
      <c r="B60" s="939" t="s">
        <v>654</v>
      </c>
      <c r="C60" s="937"/>
      <c r="D60" s="937"/>
      <c r="E60" s="937"/>
      <c r="F60" s="937"/>
      <c r="G60" s="937"/>
      <c r="H60" s="937"/>
      <c r="I60" s="937"/>
    </row>
    <row r="61" spans="2:9" x14ac:dyDescent="0.35">
      <c r="B61" s="937" t="s">
        <v>597</v>
      </c>
      <c r="C61" s="937"/>
      <c r="D61" s="937"/>
      <c r="E61" s="937"/>
      <c r="F61" s="937"/>
      <c r="G61" s="937"/>
      <c r="H61" s="937"/>
      <c r="I61" s="937"/>
    </row>
    <row r="62" spans="2:9" x14ac:dyDescent="0.35">
      <c r="B62" s="937"/>
      <c r="C62" s="937"/>
      <c r="D62" s="937"/>
      <c r="E62" s="937"/>
      <c r="F62" s="937"/>
      <c r="G62" s="937"/>
      <c r="H62" s="937"/>
      <c r="I62" s="937"/>
    </row>
    <row r="63" spans="2:9" x14ac:dyDescent="0.35">
      <c r="B63" s="937" t="s">
        <v>598</v>
      </c>
      <c r="C63" s="937"/>
      <c r="D63" s="937"/>
      <c r="E63" s="937"/>
      <c r="F63" s="937"/>
      <c r="G63" s="937"/>
      <c r="H63" s="937"/>
      <c r="I63" s="937"/>
    </row>
    <row r="64" spans="2:9" x14ac:dyDescent="0.35">
      <c r="B64" s="937" t="s">
        <v>599</v>
      </c>
      <c r="C64" s="937"/>
      <c r="D64" s="937"/>
      <c r="E64" s="937"/>
      <c r="F64" s="937"/>
      <c r="G64" s="937"/>
      <c r="H64" s="937"/>
      <c r="I64" s="937"/>
    </row>
    <row r="65" spans="2:9" x14ac:dyDescent="0.35">
      <c r="B65" s="937" t="s">
        <v>600</v>
      </c>
      <c r="C65" s="937"/>
      <c r="D65" s="937"/>
      <c r="E65" s="937"/>
      <c r="F65" s="937"/>
      <c r="G65" s="937"/>
      <c r="H65" s="937"/>
      <c r="I65" s="937"/>
    </row>
    <row r="66" spans="2:9" x14ac:dyDescent="0.35">
      <c r="B66" s="937"/>
      <c r="C66" s="937"/>
      <c r="D66" s="937"/>
      <c r="E66" s="937"/>
      <c r="F66" s="937"/>
      <c r="G66" s="937"/>
      <c r="H66" s="937"/>
      <c r="I66" s="937"/>
    </row>
    <row r="67" spans="2:9" x14ac:dyDescent="0.35">
      <c r="B67" s="937" t="s">
        <v>601</v>
      </c>
      <c r="C67" s="937"/>
      <c r="D67" s="937"/>
      <c r="E67" s="937"/>
      <c r="F67" s="937"/>
      <c r="G67" s="937"/>
      <c r="H67" s="937"/>
      <c r="I67" s="937"/>
    </row>
    <row r="68" spans="2:9" x14ac:dyDescent="0.35">
      <c r="B68" s="939" t="s">
        <v>602</v>
      </c>
      <c r="C68" s="937"/>
      <c r="D68" s="937"/>
      <c r="E68" s="937"/>
      <c r="F68" s="937"/>
      <c r="G68" s="937"/>
      <c r="H68" s="937"/>
      <c r="I68" s="937"/>
    </row>
    <row r="69" spans="2:9" x14ac:dyDescent="0.35">
      <c r="B69" s="937" t="s">
        <v>603</v>
      </c>
      <c r="C69" s="937"/>
      <c r="D69" s="937"/>
      <c r="E69" s="937"/>
      <c r="F69" s="937"/>
      <c r="G69" s="937"/>
      <c r="H69" s="937"/>
      <c r="I69" s="937"/>
    </row>
    <row r="70" spans="2:9" x14ac:dyDescent="0.35">
      <c r="B70" s="937"/>
      <c r="C70" s="937"/>
      <c r="D70" s="937"/>
      <c r="E70" s="937"/>
      <c r="F70" s="937"/>
      <c r="G70" s="937"/>
      <c r="H70" s="937"/>
      <c r="I70" s="937"/>
    </row>
    <row r="71" spans="2:9" x14ac:dyDescent="0.35">
      <c r="B71" s="937" t="s">
        <v>604</v>
      </c>
      <c r="C71" s="937"/>
      <c r="D71" s="937"/>
      <c r="E71" s="937"/>
      <c r="F71" s="937"/>
      <c r="G71" s="937"/>
      <c r="H71" s="937"/>
      <c r="I71" s="937"/>
    </row>
    <row r="72" spans="2:9" x14ac:dyDescent="0.35">
      <c r="B72" s="937" t="s">
        <v>605</v>
      </c>
      <c r="C72" s="937"/>
      <c r="D72" s="937"/>
      <c r="E72" s="937"/>
      <c r="F72" s="937"/>
      <c r="G72" s="937"/>
      <c r="H72" s="937"/>
      <c r="I72" s="937"/>
    </row>
    <row r="73" spans="2:9" x14ac:dyDescent="0.35">
      <c r="B73" s="937" t="s">
        <v>606</v>
      </c>
      <c r="C73" s="937"/>
      <c r="D73" s="937"/>
      <c r="E73" s="937"/>
      <c r="F73" s="937"/>
      <c r="G73" s="937"/>
      <c r="H73" s="937"/>
      <c r="I73" s="937"/>
    </row>
    <row r="74" spans="2:9" x14ac:dyDescent="0.35">
      <c r="B74" s="937"/>
      <c r="C74" s="937"/>
      <c r="D74" s="937"/>
      <c r="E74" s="937"/>
      <c r="F74" s="937"/>
      <c r="G74" s="937"/>
      <c r="H74" s="937"/>
      <c r="I74" s="937"/>
    </row>
    <row r="75" spans="2:9" x14ac:dyDescent="0.35">
      <c r="B75" s="937" t="s">
        <v>607</v>
      </c>
      <c r="C75" s="937"/>
      <c r="D75" s="937"/>
      <c r="E75" s="937"/>
      <c r="F75" s="937"/>
      <c r="G75" s="937"/>
      <c r="H75" s="937"/>
      <c r="I75" s="937"/>
    </row>
    <row r="76" spans="2:9" x14ac:dyDescent="0.35">
      <c r="B76" s="937" t="s">
        <v>608</v>
      </c>
      <c r="C76" s="937"/>
      <c r="D76" s="937"/>
      <c r="E76" s="937"/>
      <c r="F76" s="937"/>
      <c r="G76" s="937"/>
      <c r="H76" s="937"/>
      <c r="I76" s="937"/>
    </row>
    <row r="77" spans="2:9" x14ac:dyDescent="0.35">
      <c r="B77" s="937" t="s">
        <v>609</v>
      </c>
      <c r="C77" s="937"/>
      <c r="D77" s="937"/>
      <c r="E77" s="937"/>
      <c r="F77" s="937"/>
      <c r="G77" s="937"/>
      <c r="H77" s="937"/>
      <c r="I77" s="937"/>
    </row>
    <row r="78" spans="2:9" x14ac:dyDescent="0.35">
      <c r="B78" s="937"/>
      <c r="C78" s="937"/>
      <c r="D78" s="937"/>
      <c r="E78" s="937"/>
      <c r="F78" s="937"/>
      <c r="G78" s="937"/>
      <c r="H78" s="937"/>
      <c r="I78" s="937"/>
    </row>
    <row r="79" spans="2:9" x14ac:dyDescent="0.35">
      <c r="B79" s="937" t="s">
        <v>610</v>
      </c>
      <c r="C79" s="937"/>
      <c r="D79" s="937"/>
      <c r="E79" s="937"/>
      <c r="F79" s="937"/>
      <c r="G79" s="937"/>
      <c r="H79" s="937"/>
      <c r="I79" s="937"/>
    </row>
    <row r="80" spans="2:9" x14ac:dyDescent="0.35">
      <c r="B80" s="939" t="s">
        <v>611</v>
      </c>
      <c r="C80" s="937"/>
      <c r="D80" s="937"/>
      <c r="E80" s="937"/>
      <c r="F80" s="937"/>
      <c r="G80" s="937"/>
      <c r="H80" s="937"/>
      <c r="I80" s="937"/>
    </row>
    <row r="81" spans="2:9" x14ac:dyDescent="0.35">
      <c r="B81" s="939" t="s">
        <v>612</v>
      </c>
      <c r="C81" s="937"/>
      <c r="D81" s="937"/>
      <c r="E81" s="937"/>
      <c r="F81" s="937"/>
      <c r="G81" s="937"/>
      <c r="H81" s="937"/>
      <c r="I81" s="937"/>
    </row>
    <row r="82" spans="2:9" x14ac:dyDescent="0.35">
      <c r="B82" s="937"/>
      <c r="C82" s="937"/>
      <c r="D82" s="937"/>
      <c r="E82" s="937"/>
      <c r="F82" s="937"/>
      <c r="G82" s="937"/>
      <c r="H82" s="937"/>
      <c r="I82" s="937"/>
    </row>
    <row r="83" spans="2:9" x14ac:dyDescent="0.35">
      <c r="B83" s="937" t="s">
        <v>613</v>
      </c>
      <c r="C83" s="937"/>
      <c r="D83" s="937"/>
      <c r="E83" s="937"/>
      <c r="F83" s="937"/>
      <c r="G83" s="937"/>
      <c r="H83" s="937"/>
      <c r="I83" s="937"/>
    </row>
    <row r="84" spans="2:9" x14ac:dyDescent="0.35">
      <c r="B84" s="937" t="s">
        <v>614</v>
      </c>
      <c r="C84" s="937"/>
      <c r="D84" s="937"/>
      <c r="E84" s="937"/>
      <c r="F84" s="937"/>
      <c r="G84" s="937"/>
      <c r="H84" s="937"/>
      <c r="I84" s="937"/>
    </row>
    <row r="85" spans="2:9" x14ac:dyDescent="0.35">
      <c r="B85" s="937" t="s">
        <v>615</v>
      </c>
      <c r="C85" s="937"/>
      <c r="D85" s="937"/>
      <c r="E85" s="937"/>
      <c r="F85" s="937"/>
      <c r="G85" s="937"/>
      <c r="H85" s="937"/>
      <c r="I85" s="937"/>
    </row>
    <row r="86" spans="2:9" x14ac:dyDescent="0.35">
      <c r="B86" s="937"/>
      <c r="C86" s="937"/>
      <c r="D86" s="937"/>
      <c r="E86" s="937"/>
      <c r="F86" s="937"/>
      <c r="G86" s="937"/>
      <c r="H86" s="937"/>
      <c r="I86" s="937"/>
    </row>
    <row r="87" spans="2:9" x14ac:dyDescent="0.35">
      <c r="B87" s="937" t="s">
        <v>616</v>
      </c>
      <c r="C87" s="937"/>
      <c r="D87" s="937"/>
      <c r="E87" s="937"/>
      <c r="F87" s="937"/>
      <c r="G87" s="937"/>
      <c r="H87" s="937"/>
      <c r="I87" s="937"/>
    </row>
    <row r="88" spans="2:9" x14ac:dyDescent="0.35">
      <c r="B88" s="937" t="s">
        <v>617</v>
      </c>
      <c r="C88" s="937"/>
      <c r="D88" s="937"/>
      <c r="E88" s="937"/>
      <c r="F88" s="937"/>
      <c r="G88" s="937"/>
      <c r="H88" s="937"/>
      <c r="I88" s="937"/>
    </row>
    <row r="89" spans="2:9" x14ac:dyDescent="0.35">
      <c r="B89" s="937" t="s">
        <v>618</v>
      </c>
      <c r="C89" s="937"/>
      <c r="D89" s="937"/>
      <c r="E89" s="937"/>
      <c r="F89" s="937"/>
      <c r="G89" s="937"/>
      <c r="H89" s="937"/>
      <c r="I89" s="937"/>
    </row>
    <row r="90" spans="2:9" x14ac:dyDescent="0.35">
      <c r="B90" s="937"/>
      <c r="C90" s="937"/>
      <c r="D90" s="937"/>
      <c r="E90" s="937"/>
      <c r="F90" s="937"/>
      <c r="G90" s="937"/>
      <c r="H90" s="937"/>
      <c r="I90" s="937"/>
    </row>
    <row r="91" spans="2:9" x14ac:dyDescent="0.35">
      <c r="B91" s="937" t="s">
        <v>619</v>
      </c>
      <c r="C91" s="937"/>
      <c r="D91" s="937"/>
      <c r="E91" s="937"/>
      <c r="F91" s="937"/>
      <c r="G91" s="937"/>
      <c r="H91" s="937"/>
      <c r="I91" s="937"/>
    </row>
    <row r="92" spans="2:9" x14ac:dyDescent="0.35">
      <c r="B92" s="939" t="s">
        <v>620</v>
      </c>
      <c r="C92" s="937"/>
      <c r="D92" s="937"/>
      <c r="E92" s="937"/>
      <c r="F92" s="937"/>
      <c r="G92" s="937"/>
      <c r="H92" s="937"/>
      <c r="I92" s="937"/>
    </row>
    <row r="93" spans="2:9" x14ac:dyDescent="0.35">
      <c r="B93" s="937" t="s">
        <v>621</v>
      </c>
      <c r="C93" s="937"/>
      <c r="D93" s="937"/>
      <c r="E93" s="937"/>
      <c r="F93" s="937"/>
      <c r="G93" s="937"/>
      <c r="H93" s="937"/>
      <c r="I93" s="937"/>
    </row>
    <row r="94" spans="2:9" x14ac:dyDescent="0.35">
      <c r="B94" s="937"/>
      <c r="C94" s="937"/>
      <c r="D94" s="937"/>
      <c r="E94" s="937"/>
      <c r="F94" s="937"/>
      <c r="G94" s="937"/>
      <c r="H94" s="937"/>
      <c r="I94" s="937"/>
    </row>
    <row r="95" spans="2:9" x14ac:dyDescent="0.35">
      <c r="B95" s="937" t="s">
        <v>622</v>
      </c>
      <c r="C95" s="937"/>
      <c r="D95" s="937"/>
      <c r="E95" s="937"/>
      <c r="F95" s="937"/>
      <c r="G95" s="937"/>
      <c r="H95" s="937"/>
      <c r="I95" s="937"/>
    </row>
    <row r="96" spans="2:9" x14ac:dyDescent="0.35">
      <c r="B96" s="937" t="s">
        <v>623</v>
      </c>
      <c r="C96" s="937"/>
      <c r="D96" s="937"/>
      <c r="E96" s="937"/>
      <c r="F96" s="937"/>
      <c r="G96" s="937"/>
      <c r="H96" s="937"/>
      <c r="I96" s="937"/>
    </row>
    <row r="97" spans="2:9" x14ac:dyDescent="0.35">
      <c r="B97" s="937" t="s">
        <v>624</v>
      </c>
      <c r="C97" s="937"/>
      <c r="D97" s="937"/>
      <c r="E97" s="937"/>
      <c r="F97" s="937"/>
      <c r="G97" s="937"/>
      <c r="H97" s="937"/>
      <c r="I97" s="937"/>
    </row>
    <row r="98" spans="2:9" x14ac:dyDescent="0.35">
      <c r="B98" s="937"/>
      <c r="C98" s="937"/>
      <c r="D98" s="937"/>
      <c r="E98" s="937"/>
      <c r="F98" s="937"/>
      <c r="G98" s="937"/>
      <c r="H98" s="937"/>
      <c r="I98" s="937"/>
    </row>
    <row r="99" spans="2:9" x14ac:dyDescent="0.35">
      <c r="B99" s="937" t="s">
        <v>625</v>
      </c>
      <c r="C99" s="937"/>
      <c r="D99" s="937"/>
      <c r="E99" s="937"/>
      <c r="F99" s="937"/>
      <c r="G99" s="937"/>
      <c r="H99" s="937"/>
      <c r="I99" s="937"/>
    </row>
    <row r="100" spans="2:9" x14ac:dyDescent="0.35">
      <c r="B100" s="937" t="s">
        <v>626</v>
      </c>
      <c r="C100" s="937"/>
      <c r="D100" s="937"/>
      <c r="E100" s="937"/>
      <c r="F100" s="937"/>
      <c r="G100" s="937"/>
      <c r="H100" s="937"/>
      <c r="I100" s="937"/>
    </row>
    <row r="101" spans="2:9" x14ac:dyDescent="0.35">
      <c r="B101" s="937" t="s">
        <v>627</v>
      </c>
      <c r="C101" s="937"/>
      <c r="D101" s="937"/>
      <c r="E101" s="937"/>
      <c r="F101" s="937"/>
      <c r="G101" s="937"/>
      <c r="H101" s="937"/>
      <c r="I101" s="937"/>
    </row>
    <row r="102" spans="2:9" x14ac:dyDescent="0.35">
      <c r="B102" s="937"/>
      <c r="C102" s="937"/>
      <c r="D102" s="937"/>
      <c r="E102" s="937"/>
      <c r="F102" s="937"/>
      <c r="G102" s="937"/>
      <c r="H102" s="937"/>
      <c r="I102" s="937"/>
    </row>
    <row r="103" spans="2:9" x14ac:dyDescent="0.35">
      <c r="B103" s="937" t="s">
        <v>628</v>
      </c>
      <c r="C103" s="937"/>
      <c r="D103" s="937"/>
      <c r="E103" s="937"/>
      <c r="F103" s="937"/>
      <c r="G103" s="937"/>
      <c r="H103" s="937"/>
      <c r="I103" s="937"/>
    </row>
    <row r="104" spans="2:9" x14ac:dyDescent="0.35">
      <c r="B104" s="939" t="s">
        <v>629</v>
      </c>
      <c r="C104" s="937"/>
      <c r="D104" s="937"/>
      <c r="E104" s="937"/>
      <c r="F104" s="937"/>
      <c r="G104" s="937"/>
      <c r="H104" s="937"/>
      <c r="I104" s="937"/>
    </row>
    <row r="105" spans="2:9" x14ac:dyDescent="0.35">
      <c r="B105" s="937" t="s">
        <v>630</v>
      </c>
      <c r="C105" s="937"/>
      <c r="D105" s="937"/>
      <c r="E105" s="937"/>
      <c r="F105" s="937"/>
      <c r="G105" s="937"/>
      <c r="H105" s="937"/>
      <c r="I105" s="937"/>
    </row>
    <row r="106" spans="2:9" x14ac:dyDescent="0.35">
      <c r="B106" s="937"/>
      <c r="C106" s="937"/>
      <c r="D106" s="937"/>
      <c r="E106" s="937"/>
      <c r="F106" s="937"/>
      <c r="G106" s="937"/>
      <c r="H106" s="937"/>
      <c r="I106" s="937"/>
    </row>
    <row r="107" spans="2:9" x14ac:dyDescent="0.35">
      <c r="B107" s="937"/>
      <c r="C107" s="937"/>
      <c r="D107" s="937"/>
      <c r="E107" s="937"/>
      <c r="F107" s="937"/>
      <c r="G107" s="937"/>
      <c r="H107" s="937"/>
      <c r="I107" s="937"/>
    </row>
    <row r="108" spans="2:9" x14ac:dyDescent="0.35">
      <c r="B108" s="937"/>
      <c r="C108" s="937"/>
      <c r="D108" s="937"/>
      <c r="E108" s="937"/>
      <c r="F108" s="937"/>
      <c r="G108" s="937"/>
      <c r="H108" s="937"/>
      <c r="I108" s="937"/>
    </row>
    <row r="109" spans="2:9" x14ac:dyDescent="0.35">
      <c r="B109" s="937"/>
      <c r="C109" s="937"/>
      <c r="D109" s="937"/>
      <c r="E109" s="937"/>
      <c r="F109" s="937"/>
      <c r="G109" s="937"/>
      <c r="H109" s="937"/>
      <c r="I109" s="937"/>
    </row>
    <row r="110" spans="2:9" x14ac:dyDescent="0.35">
      <c r="B110" s="937"/>
      <c r="C110" s="937"/>
      <c r="D110" s="937"/>
      <c r="E110" s="937"/>
      <c r="F110" s="937"/>
      <c r="G110" s="937"/>
      <c r="H110" s="937"/>
      <c r="I110" s="937"/>
    </row>
    <row r="111" spans="2:9" x14ac:dyDescent="0.35">
      <c r="B111" s="937"/>
      <c r="C111" s="937"/>
      <c r="D111" s="937"/>
      <c r="E111" s="937"/>
      <c r="F111" s="937"/>
      <c r="G111" s="937"/>
      <c r="H111" s="937"/>
      <c r="I111" s="937"/>
    </row>
    <row r="112" spans="2:9" x14ac:dyDescent="0.35">
      <c r="B112" s="937"/>
      <c r="C112" s="937"/>
      <c r="D112" s="937"/>
      <c r="E112" s="937"/>
      <c r="F112" s="937"/>
      <c r="G112" s="937"/>
      <c r="H112" s="937"/>
      <c r="I112" s="937"/>
    </row>
    <row r="113" spans="2:9" x14ac:dyDescent="0.35">
      <c r="B113" s="937"/>
      <c r="C113" s="937"/>
      <c r="D113" s="937"/>
      <c r="E113" s="937"/>
      <c r="F113" s="937"/>
      <c r="G113" s="937"/>
      <c r="H113" s="937"/>
      <c r="I113" s="937"/>
    </row>
    <row r="114" spans="2:9" x14ac:dyDescent="0.35">
      <c r="B114" s="938"/>
      <c r="C114" s="938"/>
      <c r="D114" s="938"/>
      <c r="E114" s="938"/>
      <c r="F114" s="938"/>
      <c r="G114" s="938"/>
      <c r="H114" s="938"/>
      <c r="I114" s="938"/>
    </row>
    <row r="115" spans="2:9" x14ac:dyDescent="0.35">
      <c r="B115" s="937"/>
      <c r="C115" s="937"/>
      <c r="D115" s="937"/>
      <c r="E115" s="937"/>
      <c r="F115" s="937"/>
      <c r="G115" s="937"/>
      <c r="H115" s="937"/>
      <c r="I115" s="937"/>
    </row>
    <row r="116" spans="2:9" x14ac:dyDescent="0.35">
      <c r="B116" s="937"/>
      <c r="C116" s="937"/>
      <c r="D116" s="937"/>
      <c r="E116" s="937"/>
      <c r="F116" s="937"/>
      <c r="G116" s="937"/>
      <c r="H116" s="937"/>
      <c r="I116" s="937"/>
    </row>
    <row r="117" spans="2:9" x14ac:dyDescent="0.35">
      <c r="B117" s="937"/>
      <c r="C117" s="937"/>
      <c r="D117" s="937"/>
      <c r="E117" s="937"/>
      <c r="F117" s="937"/>
      <c r="G117" s="937"/>
      <c r="H117" s="937"/>
      <c r="I117" s="937"/>
    </row>
    <row r="118" spans="2:9" x14ac:dyDescent="0.35">
      <c r="B118" s="937"/>
      <c r="C118" s="937"/>
      <c r="D118" s="937"/>
      <c r="E118" s="937"/>
      <c r="F118" s="937"/>
      <c r="G118" s="937"/>
      <c r="H118" s="937"/>
      <c r="I118" s="937"/>
    </row>
    <row r="119" spans="2:9" x14ac:dyDescent="0.35">
      <c r="B119" s="937"/>
      <c r="C119" s="937"/>
      <c r="D119" s="937"/>
      <c r="E119" s="937"/>
      <c r="F119" s="937"/>
      <c r="G119" s="937"/>
      <c r="H119" s="937"/>
      <c r="I119" s="937"/>
    </row>
    <row r="120" spans="2:9" x14ac:dyDescent="0.35">
      <c r="B120" s="937"/>
      <c r="C120" s="937"/>
      <c r="D120" s="937"/>
      <c r="E120" s="937"/>
      <c r="F120" s="937"/>
      <c r="G120" s="937"/>
      <c r="H120" s="937"/>
      <c r="I120" s="937"/>
    </row>
    <row r="121" spans="2:9" x14ac:dyDescent="0.35">
      <c r="B121" s="937"/>
      <c r="C121" s="937"/>
      <c r="D121" s="937"/>
      <c r="E121" s="937"/>
      <c r="F121" s="937"/>
      <c r="G121" s="937"/>
      <c r="H121" s="937"/>
      <c r="I121" s="937"/>
    </row>
    <row r="122" spans="2:9" x14ac:dyDescent="0.35">
      <c r="B122" s="937"/>
      <c r="C122" s="937"/>
      <c r="D122" s="937"/>
      <c r="E122" s="937"/>
      <c r="F122" s="937"/>
      <c r="G122" s="937"/>
      <c r="H122" s="937"/>
      <c r="I122" s="937"/>
    </row>
    <row r="123" spans="2:9" x14ac:dyDescent="0.35">
      <c r="B123" s="937"/>
      <c r="C123" s="937"/>
      <c r="D123" s="937"/>
      <c r="E123" s="937"/>
      <c r="F123" s="937"/>
      <c r="G123" s="937"/>
      <c r="H123" s="937"/>
      <c r="I123" s="937"/>
    </row>
    <row r="124" spans="2:9" x14ac:dyDescent="0.35">
      <c r="B124" s="937"/>
      <c r="C124" s="937"/>
      <c r="D124" s="937"/>
      <c r="E124" s="937"/>
      <c r="F124" s="937"/>
      <c r="G124" s="937"/>
      <c r="H124" s="937"/>
      <c r="I124" s="937"/>
    </row>
    <row r="125" spans="2:9" x14ac:dyDescent="0.35">
      <c r="B125" s="937"/>
      <c r="C125" s="937"/>
      <c r="D125" s="937"/>
      <c r="E125" s="937"/>
      <c r="F125" s="937"/>
      <c r="G125" s="937"/>
      <c r="H125" s="937"/>
      <c r="I125" s="937"/>
    </row>
    <row r="126" spans="2:9" x14ac:dyDescent="0.35">
      <c r="B126" s="937"/>
      <c r="C126" s="937"/>
      <c r="D126" s="937"/>
      <c r="E126" s="937"/>
      <c r="F126" s="937"/>
      <c r="G126" s="937"/>
      <c r="H126" s="937"/>
      <c r="I126" s="937"/>
    </row>
    <row r="127" spans="2:9" x14ac:dyDescent="0.35">
      <c r="B127" s="937"/>
      <c r="C127" s="937"/>
      <c r="D127" s="937"/>
      <c r="E127" s="937"/>
      <c r="F127" s="937"/>
      <c r="G127" s="937"/>
      <c r="H127" s="937"/>
      <c r="I127" s="937"/>
    </row>
    <row r="128" spans="2:9" x14ac:dyDescent="0.35">
      <c r="B128" s="937"/>
      <c r="C128" s="937"/>
      <c r="D128" s="937"/>
      <c r="E128" s="937"/>
      <c r="F128" s="937"/>
      <c r="G128" s="937"/>
      <c r="H128" s="937"/>
      <c r="I128" s="937"/>
    </row>
    <row r="129" spans="2:9" x14ac:dyDescent="0.35">
      <c r="B129" s="937"/>
      <c r="C129" s="937"/>
      <c r="D129" s="937"/>
      <c r="E129" s="937"/>
      <c r="F129" s="937"/>
      <c r="G129" s="937"/>
      <c r="H129" s="937"/>
      <c r="I129" s="937"/>
    </row>
    <row r="130" spans="2:9" x14ac:dyDescent="0.35">
      <c r="B130" s="937"/>
      <c r="C130" s="937"/>
      <c r="D130" s="937"/>
      <c r="E130" s="937"/>
      <c r="F130" s="937"/>
      <c r="G130" s="937"/>
      <c r="H130" s="937"/>
      <c r="I130" s="937"/>
    </row>
    <row r="131" spans="2:9" x14ac:dyDescent="0.35">
      <c r="B131" s="937"/>
      <c r="C131" s="937"/>
      <c r="D131" s="937"/>
      <c r="E131" s="937"/>
      <c r="F131" s="937"/>
      <c r="G131" s="937"/>
      <c r="H131" s="937"/>
      <c r="I131" s="937"/>
    </row>
    <row r="132" spans="2:9" x14ac:dyDescent="0.35">
      <c r="B132" s="937"/>
      <c r="C132" s="937"/>
      <c r="D132" s="937"/>
      <c r="E132" s="937"/>
      <c r="F132" s="937"/>
      <c r="G132" s="937"/>
      <c r="H132" s="937"/>
      <c r="I132" s="937"/>
    </row>
    <row r="133" spans="2:9" x14ac:dyDescent="0.35">
      <c r="B133" s="937"/>
      <c r="C133" s="937"/>
      <c r="D133" s="937"/>
      <c r="E133" s="937"/>
      <c r="F133" s="937"/>
      <c r="G133" s="937"/>
      <c r="H133" s="937"/>
      <c r="I133" s="937"/>
    </row>
    <row r="134" spans="2:9" x14ac:dyDescent="0.35">
      <c r="B134" s="937"/>
      <c r="C134" s="937"/>
      <c r="D134" s="937"/>
      <c r="E134" s="937"/>
      <c r="F134" s="937"/>
      <c r="G134" s="937"/>
      <c r="H134" s="937"/>
      <c r="I134" s="937"/>
    </row>
    <row r="135" spans="2:9" x14ac:dyDescent="0.35">
      <c r="B135" s="937"/>
      <c r="C135" s="937"/>
      <c r="D135" s="937"/>
      <c r="E135" s="937"/>
      <c r="F135" s="937"/>
      <c r="G135" s="937"/>
      <c r="H135" s="937"/>
      <c r="I135" s="937"/>
    </row>
    <row r="136" spans="2:9" x14ac:dyDescent="0.35">
      <c r="B136" s="937"/>
      <c r="C136" s="937"/>
      <c r="D136" s="937"/>
      <c r="E136" s="937"/>
      <c r="F136" s="937"/>
      <c r="G136" s="937"/>
      <c r="H136" s="937"/>
      <c r="I136" s="937"/>
    </row>
    <row r="137" spans="2:9" x14ac:dyDescent="0.35">
      <c r="B137" s="937"/>
      <c r="C137" s="937"/>
      <c r="D137" s="937"/>
      <c r="E137" s="937"/>
      <c r="F137" s="937"/>
      <c r="G137" s="937"/>
      <c r="H137" s="937"/>
      <c r="I137" s="937"/>
    </row>
    <row r="138" spans="2:9" x14ac:dyDescent="0.35">
      <c r="B138" s="736"/>
    </row>
    <row r="139" spans="2:9" x14ac:dyDescent="0.35">
      <c r="B139" s="737"/>
    </row>
    <row r="140" spans="2:9" x14ac:dyDescent="0.35">
      <c r="B140" s="737"/>
    </row>
    <row r="141" spans="2:9" x14ac:dyDescent="0.35">
      <c r="B141" s="737"/>
    </row>
    <row r="142" spans="2:9" x14ac:dyDescent="0.35">
      <c r="B142" s="737"/>
    </row>
  </sheetData>
  <mergeCells count="103">
    <mergeCell ref="B39:I39"/>
    <mergeCell ref="B40:I40"/>
    <mergeCell ref="B41:I41"/>
    <mergeCell ref="B43:I43"/>
    <mergeCell ref="B44:I44"/>
    <mergeCell ref="B2:F2"/>
    <mergeCell ref="B35:I35"/>
    <mergeCell ref="B36:I36"/>
    <mergeCell ref="B37:I37"/>
    <mergeCell ref="B38:I38"/>
    <mergeCell ref="B50:I50"/>
    <mergeCell ref="B51:I51"/>
    <mergeCell ref="B52:I52"/>
    <mergeCell ref="B53:I53"/>
    <mergeCell ref="B54:I54"/>
    <mergeCell ref="B45:I45"/>
    <mergeCell ref="B46:I46"/>
    <mergeCell ref="B47:I47"/>
    <mergeCell ref="B48:I48"/>
    <mergeCell ref="B49:I49"/>
    <mergeCell ref="B60:I60"/>
    <mergeCell ref="B61:I61"/>
    <mergeCell ref="B62:I62"/>
    <mergeCell ref="B63:I63"/>
    <mergeCell ref="B64:I64"/>
    <mergeCell ref="B55:I55"/>
    <mergeCell ref="B56:I56"/>
    <mergeCell ref="B57:I57"/>
    <mergeCell ref="B58:I58"/>
    <mergeCell ref="B59:I59"/>
    <mergeCell ref="B70:I70"/>
    <mergeCell ref="B71:I71"/>
    <mergeCell ref="B72:I72"/>
    <mergeCell ref="B73:I73"/>
    <mergeCell ref="B74:I74"/>
    <mergeCell ref="B65:I65"/>
    <mergeCell ref="B66:I66"/>
    <mergeCell ref="B67:I67"/>
    <mergeCell ref="B68:I68"/>
    <mergeCell ref="B69:I69"/>
    <mergeCell ref="B80:I80"/>
    <mergeCell ref="B81:I81"/>
    <mergeCell ref="B82:I82"/>
    <mergeCell ref="B83:I83"/>
    <mergeCell ref="B84:I84"/>
    <mergeCell ref="B75:I75"/>
    <mergeCell ref="B76:I76"/>
    <mergeCell ref="B77:I77"/>
    <mergeCell ref="B78:I78"/>
    <mergeCell ref="B79:I79"/>
    <mergeCell ref="B90:I90"/>
    <mergeCell ref="B91:I91"/>
    <mergeCell ref="B92:I92"/>
    <mergeCell ref="B93:I93"/>
    <mergeCell ref="B94:I94"/>
    <mergeCell ref="B85:I85"/>
    <mergeCell ref="B86:I86"/>
    <mergeCell ref="B87:I87"/>
    <mergeCell ref="B88:I88"/>
    <mergeCell ref="B89:I89"/>
    <mergeCell ref="B100:I100"/>
    <mergeCell ref="B101:I101"/>
    <mergeCell ref="B102:I102"/>
    <mergeCell ref="B103:I103"/>
    <mergeCell ref="B104:I104"/>
    <mergeCell ref="B95:I95"/>
    <mergeCell ref="B96:I96"/>
    <mergeCell ref="B97:I97"/>
    <mergeCell ref="B98:I98"/>
    <mergeCell ref="B99:I99"/>
    <mergeCell ref="B110:I110"/>
    <mergeCell ref="B111:I111"/>
    <mergeCell ref="B112:I112"/>
    <mergeCell ref="B113:I113"/>
    <mergeCell ref="B114:I114"/>
    <mergeCell ref="B105:I105"/>
    <mergeCell ref="B106:I106"/>
    <mergeCell ref="B107:I107"/>
    <mergeCell ref="B108:I108"/>
    <mergeCell ref="B109:I109"/>
    <mergeCell ref="B120:I120"/>
    <mergeCell ref="B121:I121"/>
    <mergeCell ref="B122:I122"/>
    <mergeCell ref="B123:I123"/>
    <mergeCell ref="B124:I124"/>
    <mergeCell ref="B115:I115"/>
    <mergeCell ref="B116:I116"/>
    <mergeCell ref="B117:I117"/>
    <mergeCell ref="B118:I118"/>
    <mergeCell ref="B119:I119"/>
    <mergeCell ref="B135:I135"/>
    <mergeCell ref="B136:I136"/>
    <mergeCell ref="B137:I137"/>
    <mergeCell ref="B130:I130"/>
    <mergeCell ref="B131:I131"/>
    <mergeCell ref="B132:I132"/>
    <mergeCell ref="B133:I133"/>
    <mergeCell ref="B134:I134"/>
    <mergeCell ref="B125:I125"/>
    <mergeCell ref="B126:I126"/>
    <mergeCell ref="B127:I127"/>
    <mergeCell ref="B128:I128"/>
    <mergeCell ref="B129:I1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Resultados</vt:lpstr>
      <vt:lpstr>Resultados divisiones</vt:lpstr>
      <vt:lpstr>Mercados</vt:lpstr>
      <vt:lpstr>Efecto dólar</vt:lpstr>
      <vt:lpstr>Compras</vt:lpstr>
      <vt:lpstr>Costes</vt:lpstr>
      <vt:lpstr>Personal</vt:lpstr>
      <vt:lpstr>Balance</vt:lpstr>
      <vt:lpstr>Ratios </vt:lpstr>
      <vt:lpstr>Precios 18</vt:lpstr>
      <vt:lpstr>Paises 18</vt:lpstr>
      <vt:lpstr>Paises 17</vt:lpstr>
      <vt:lpstr>Precios</vt:lpstr>
      <vt:lpstr>PLANTILLA ACUMULADA J.C.E. 0,15</vt:lpstr>
      <vt:lpstr>Balance!Área_de_impresión</vt:lpstr>
      <vt:lpstr>Compras!Área_de_impresión</vt:lpstr>
      <vt:lpstr>Costes!Área_de_impresión</vt:lpstr>
      <vt:lpstr>'Efecto dólar'!Área_de_impresión</vt:lpstr>
      <vt:lpstr>Mercados!Área_de_impresión</vt:lpstr>
      <vt:lpstr>'Paises 17'!Área_de_impresión</vt:lpstr>
      <vt:lpstr>'Paises 18'!Área_de_impresión</vt:lpstr>
      <vt:lpstr>'PLANTILLA ACUMULADA J.C.E. 0,15'!Área_de_impresión</vt:lpstr>
      <vt:lpstr>'Precios 18'!Área_de_impresión</vt:lpstr>
      <vt:lpstr>'Ratios '!Área_de_impresión</vt:lpstr>
      <vt:lpstr>Resultados!Área_de_impresión</vt:lpstr>
      <vt:lpstr>'Paises 17'!Títulos_a_imprimir</vt:lpstr>
      <vt:lpstr>'Paises 18'!Títulos_a_imprimir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Conesa Fábregues, Teresa</cp:lastModifiedBy>
  <cp:lastPrinted>2020-03-02T15:32:26Z</cp:lastPrinted>
  <dcterms:created xsi:type="dcterms:W3CDTF">2017-01-11T10:45:12Z</dcterms:created>
  <dcterms:modified xsi:type="dcterms:W3CDTF">2021-03-03T12:03:32Z</dcterms:modified>
</cp:coreProperties>
</file>