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MA\Documents\1 - IMMA\Imma\1- Ercros\Informes anuales\2016\12- Cuentas anuales web\"/>
    </mc:Choice>
  </mc:AlternateContent>
  <bookViews>
    <workbookView xWindow="0" yWindow="0" windowWidth="23040" windowHeight="9408"/>
  </bookViews>
  <sheets>
    <sheet name="Resultados" sheetId="20" r:id="rId1"/>
    <sheet name="Resultados divisiones" sheetId="16" r:id="rId2"/>
    <sheet name="Ventas por mercados" sheetId="13" r:id="rId3"/>
    <sheet name="Efecto dólar" sheetId="8" r:id="rId4"/>
    <sheet name="Compras" sheetId="18" r:id="rId5"/>
    <sheet name="Personal" sheetId="1" r:id="rId6"/>
    <sheet name="Costes" sheetId="21" r:id="rId7"/>
    <sheet name="Balance" sheetId="19" r:id="rId8"/>
    <sheet name="Ratios" sheetId="24" r:id="rId9"/>
  </sheets>
  <definedNames>
    <definedName name="_xlnm.Print_Area" localSheetId="7">Balance!$B$6:$G$33</definedName>
    <definedName name="_xlnm.Print_Area" localSheetId="6">Costes!$B$6:$G$19</definedName>
    <definedName name="_xlnm.Print_Area" localSheetId="3">'Efecto dólar'!#REF!</definedName>
    <definedName name="_xlnm.Print_Area" localSheetId="0">Resultados!$B$5:$G$30</definedName>
  </definedNames>
  <calcPr calcId="152511"/>
</workbook>
</file>

<file path=xl/calcChain.xml><?xml version="1.0" encoding="utf-8"?>
<calcChain xmlns="http://schemas.openxmlformats.org/spreadsheetml/2006/main">
  <c r="C35" i="16" l="1"/>
  <c r="C12" i="21" l="1"/>
  <c r="C19" i="21"/>
  <c r="D14" i="18"/>
  <c r="T13" i="13"/>
  <c r="T14" i="13"/>
  <c r="M17" i="13"/>
  <c r="O17" i="13"/>
  <c r="O12" i="13"/>
  <c r="M12" i="13"/>
  <c r="P12" i="13" s="1"/>
  <c r="J17" i="13"/>
  <c r="H17" i="13"/>
  <c r="J12" i="13"/>
  <c r="H12" i="13"/>
  <c r="C17" i="13"/>
  <c r="D14" i="13" s="1"/>
  <c r="E12" i="13"/>
  <c r="T12" i="13" s="1"/>
  <c r="T17" i="13" s="1"/>
  <c r="C12" i="13"/>
  <c r="E15" i="13"/>
  <c r="T15" i="13" s="1"/>
  <c r="R12" i="13"/>
  <c r="R17" i="13" s="1"/>
  <c r="R13" i="13"/>
  <c r="E17" i="13" l="1"/>
  <c r="D30" i="16"/>
  <c r="G30" i="16"/>
  <c r="I30" i="16" s="1"/>
  <c r="H30" i="16"/>
  <c r="K30" i="16"/>
  <c r="M30" i="16" s="1"/>
  <c r="L30" i="16"/>
  <c r="P30" i="16"/>
  <c r="C14" i="18"/>
  <c r="F14" i="18" s="1"/>
  <c r="C30" i="16"/>
  <c r="E30" i="16" s="1"/>
  <c r="Q15" i="8"/>
  <c r="Q13" i="8"/>
  <c r="Q12" i="8"/>
  <c r="Q11" i="8"/>
  <c r="M15" i="8"/>
  <c r="M13" i="8"/>
  <c r="M12" i="8"/>
  <c r="M11" i="8"/>
  <c r="E26" i="19"/>
  <c r="D26" i="19"/>
  <c r="G26" i="19" s="1"/>
  <c r="D9" i="21"/>
  <c r="D10" i="21"/>
  <c r="D12" i="21"/>
  <c r="D13" i="21"/>
  <c r="D14" i="21"/>
  <c r="D16" i="21"/>
  <c r="D17" i="21"/>
  <c r="D19" i="21"/>
  <c r="D8" i="21"/>
  <c r="G9" i="21"/>
  <c r="G10" i="21"/>
  <c r="G12" i="21"/>
  <c r="G13" i="21"/>
  <c r="G14" i="21"/>
  <c r="G16" i="21"/>
  <c r="G17" i="21"/>
  <c r="G19" i="21"/>
  <c r="G8" i="21"/>
  <c r="F9" i="21"/>
  <c r="F10" i="21"/>
  <c r="F12" i="21"/>
  <c r="F13" i="21"/>
  <c r="F14" i="21"/>
  <c r="F16" i="21"/>
  <c r="F17" i="21"/>
  <c r="F19" i="21"/>
  <c r="F8" i="21"/>
  <c r="E9" i="18"/>
  <c r="E10" i="18"/>
  <c r="E12" i="18"/>
  <c r="E8" i="18"/>
  <c r="F9" i="18"/>
  <c r="F10" i="18"/>
  <c r="F12" i="18"/>
  <c r="F8" i="18"/>
  <c r="I15" i="8"/>
  <c r="I13" i="8"/>
  <c r="I12" i="8"/>
  <c r="I11" i="8"/>
  <c r="E13" i="8"/>
  <c r="E12" i="8"/>
  <c r="E11" i="8"/>
  <c r="U17" i="13"/>
  <c r="U10" i="13"/>
  <c r="S17" i="13"/>
  <c r="S10" i="13"/>
  <c r="P13" i="13"/>
  <c r="P14" i="13"/>
  <c r="P15" i="13"/>
  <c r="P17" i="13"/>
  <c r="P10" i="13"/>
  <c r="N12" i="13"/>
  <c r="N13" i="13"/>
  <c r="N14" i="13"/>
  <c r="N15" i="13"/>
  <c r="N17" i="13"/>
  <c r="N10" i="13"/>
  <c r="K12" i="13"/>
  <c r="K13" i="13"/>
  <c r="K14" i="13"/>
  <c r="K15" i="13"/>
  <c r="K17" i="13"/>
  <c r="K10" i="13"/>
  <c r="I12" i="13"/>
  <c r="I13" i="13"/>
  <c r="I14" i="13"/>
  <c r="I15" i="13"/>
  <c r="I17" i="13"/>
  <c r="I10" i="13"/>
  <c r="F12" i="13"/>
  <c r="F10" i="13"/>
  <c r="D12" i="13"/>
  <c r="D13" i="13"/>
  <c r="D15" i="13"/>
  <c r="D17" i="13"/>
  <c r="D10" i="13"/>
  <c r="F26" i="19" l="1"/>
  <c r="E14" i="18"/>
  <c r="E27" i="16"/>
  <c r="E13" i="16"/>
  <c r="F9" i="20"/>
  <c r="F10" i="20"/>
  <c r="F11" i="20"/>
  <c r="F14" i="20"/>
  <c r="F15" i="20"/>
  <c r="F17" i="20"/>
  <c r="F20" i="20"/>
  <c r="F25" i="20"/>
  <c r="F28" i="20"/>
  <c r="Q26" i="16" l="1"/>
  <c r="Q27" i="16"/>
  <c r="Q25" i="16"/>
  <c r="M26" i="16"/>
  <c r="M27" i="16"/>
  <c r="M25" i="16"/>
  <c r="I27" i="16"/>
  <c r="I26" i="16"/>
  <c r="I25" i="16"/>
  <c r="E26" i="16"/>
  <c r="E25" i="16"/>
  <c r="C18" i="24" l="1"/>
  <c r="C19" i="24" s="1"/>
  <c r="C20" i="24"/>
  <c r="C21" i="24"/>
  <c r="C12" i="24" l="1"/>
  <c r="C11" i="24"/>
  <c r="C17" i="16" l="1"/>
  <c r="E17" i="16" s="1"/>
  <c r="D24" i="20" l="1"/>
  <c r="Q21" i="16" l="1"/>
  <c r="Q18" i="16"/>
  <c r="Q14" i="16"/>
  <c r="M13" i="16"/>
  <c r="M18" i="16"/>
  <c r="M14" i="16"/>
  <c r="M11" i="16"/>
  <c r="I21" i="16"/>
  <c r="I18" i="16"/>
  <c r="I14" i="16"/>
  <c r="I13" i="16"/>
  <c r="I11" i="16"/>
  <c r="E18" i="16"/>
  <c r="E14" i="16"/>
  <c r="E11" i="16"/>
  <c r="K17" i="16"/>
  <c r="K20" i="16" s="1"/>
  <c r="K23" i="16" s="1"/>
  <c r="M23" i="16" s="1"/>
  <c r="G17" i="16"/>
  <c r="G20" i="16" s="1"/>
  <c r="G23" i="16" s="1"/>
  <c r="I23" i="16" s="1"/>
  <c r="O13" i="16"/>
  <c r="O11" i="16"/>
  <c r="E15" i="8" s="1"/>
  <c r="I20" i="16" l="1"/>
  <c r="M20" i="16"/>
  <c r="O17" i="16"/>
  <c r="Q17" i="16" s="1"/>
  <c r="Q13" i="16"/>
  <c r="O30" i="16"/>
  <c r="Q30" i="16" s="1"/>
  <c r="I17" i="16"/>
  <c r="M17" i="16"/>
  <c r="C20" i="16"/>
  <c r="C23" i="16" l="1"/>
  <c r="O23" i="16" s="1"/>
  <c r="Q23" i="16" s="1"/>
  <c r="O20" i="16"/>
  <c r="Q20" i="16" s="1"/>
  <c r="D29" i="24" l="1"/>
  <c r="C29" i="24"/>
  <c r="D28" i="24"/>
  <c r="C28" i="24"/>
  <c r="D27" i="24"/>
  <c r="C27" i="24"/>
  <c r="D26" i="24"/>
  <c r="C26" i="24"/>
  <c r="D21" i="24"/>
  <c r="D20" i="24"/>
  <c r="D18" i="24"/>
  <c r="C14" i="24"/>
  <c r="C13" i="24"/>
  <c r="D12" i="24"/>
  <c r="D11" i="24"/>
  <c r="D10" i="24"/>
  <c r="C10" i="24"/>
  <c r="D9" i="24"/>
  <c r="C9" i="24"/>
  <c r="D8" i="24"/>
  <c r="C8" i="24"/>
  <c r="G9" i="20" l="1"/>
  <c r="G10" i="20"/>
  <c r="G11" i="20"/>
  <c r="G14" i="20"/>
  <c r="G15" i="20"/>
  <c r="G17" i="20"/>
  <c r="G20" i="20"/>
  <c r="G21" i="20"/>
  <c r="G25" i="20"/>
  <c r="G28" i="20"/>
  <c r="D8" i="20"/>
  <c r="E8" i="20"/>
  <c r="E16" i="20"/>
  <c r="F16" i="20" s="1"/>
  <c r="E24" i="20"/>
  <c r="F24" i="20" s="1"/>
  <c r="G10" i="19"/>
  <c r="G11" i="19"/>
  <c r="G16" i="19"/>
  <c r="G18" i="19"/>
  <c r="G21" i="19"/>
  <c r="G8" i="19"/>
  <c r="F21" i="19"/>
  <c r="F20" i="19"/>
  <c r="F19" i="19"/>
  <c r="F18" i="19"/>
  <c r="F16" i="19"/>
  <c r="F11" i="19"/>
  <c r="F10" i="19"/>
  <c r="F8" i="19"/>
  <c r="F13" i="19" l="1"/>
  <c r="G9" i="19"/>
  <c r="G20" i="19"/>
  <c r="G19" i="19"/>
  <c r="F8" i="20"/>
  <c r="G8" i="20"/>
  <c r="E13" i="20"/>
  <c r="E19" i="20" s="1"/>
  <c r="E28" i="19" s="1"/>
  <c r="G24" i="20"/>
  <c r="G16" i="20"/>
  <c r="G13" i="19"/>
  <c r="D13" i="20"/>
  <c r="F9" i="19"/>
  <c r="F17" i="19" l="1"/>
  <c r="G17" i="19"/>
  <c r="G13" i="20"/>
  <c r="F13" i="20"/>
  <c r="E23" i="20"/>
  <c r="E27" i="20" s="1"/>
  <c r="E30" i="20" s="1"/>
  <c r="F23" i="19"/>
  <c r="G23" i="19"/>
  <c r="D19" i="20"/>
  <c r="D28" i="19" s="1"/>
  <c r="G28" i="19" l="1"/>
  <c r="F28" i="19"/>
  <c r="F19" i="20"/>
  <c r="G19" i="20"/>
  <c r="D23" i="20"/>
  <c r="G23" i="20" l="1"/>
  <c r="F23" i="20"/>
  <c r="D27" i="20"/>
  <c r="G27" i="20" l="1"/>
  <c r="F27" i="20"/>
  <c r="D30" i="20"/>
  <c r="G30" i="20" l="1"/>
  <c r="F30" i="20"/>
  <c r="F17" i="13" l="1"/>
  <c r="F15" i="13"/>
  <c r="F14" i="13"/>
  <c r="F13" i="13"/>
  <c r="R14" i="13" l="1"/>
  <c r="R15" i="13"/>
  <c r="S14" i="13" l="1"/>
  <c r="U14" i="13"/>
  <c r="U15" i="13"/>
  <c r="S15" i="13"/>
  <c r="S13" i="13"/>
  <c r="U13" i="13"/>
  <c r="U12" i="13"/>
  <c r="S12" i="13"/>
  <c r="L15" i="1" l="1"/>
  <c r="O15" i="1"/>
  <c r="R15" i="1"/>
  <c r="C15" i="1"/>
  <c r="F15" i="1"/>
  <c r="I15" i="1"/>
  <c r="D11" i="1" l="1"/>
  <c r="D15" i="1"/>
  <c r="D12" i="1"/>
  <c r="D13" i="1"/>
  <c r="S12" i="1"/>
  <c r="S15" i="1"/>
  <c r="S11" i="1"/>
  <c r="S13" i="1"/>
  <c r="J13" i="1"/>
  <c r="J15" i="1"/>
  <c r="J12" i="1"/>
  <c r="J11" i="1"/>
  <c r="P15" i="1"/>
  <c r="P13" i="1"/>
  <c r="P12" i="1"/>
  <c r="P11" i="1"/>
  <c r="G15" i="1"/>
  <c r="G11" i="1"/>
  <c r="G12" i="1"/>
  <c r="G13" i="1"/>
  <c r="M15" i="1"/>
  <c r="M11" i="1"/>
  <c r="M12" i="1"/>
  <c r="M13" i="1"/>
</calcChain>
</file>

<file path=xl/sharedStrings.xml><?xml version="1.0" encoding="utf-8"?>
<sst xmlns="http://schemas.openxmlformats.org/spreadsheetml/2006/main" count="312" uniqueCount="215">
  <si>
    <t>Ejercicio 2015</t>
  </si>
  <si>
    <t>Total</t>
  </si>
  <si>
    <t>Hombres</t>
  </si>
  <si>
    <t>Mujeres</t>
  </si>
  <si>
    <t>Técnicos</t>
  </si>
  <si>
    <t>Administrativos</t>
  </si>
  <si>
    <t>Operarios y subalternos</t>
  </si>
  <si>
    <t>Ejercicio 2016</t>
  </si>
  <si>
    <t>Ventas</t>
  </si>
  <si>
    <t>Compras</t>
  </si>
  <si>
    <t>$</t>
  </si>
  <si>
    <t>Ejercicio</t>
  </si>
  <si>
    <t>PVC</t>
  </si>
  <si>
    <t xml:space="preserve"> </t>
  </si>
  <si>
    <t>Aprovisionamientos</t>
  </si>
  <si>
    <t>Suministros</t>
  </si>
  <si>
    <t>Exterior</t>
  </si>
  <si>
    <t>Resto del mundo</t>
  </si>
  <si>
    <t>Aprovisionamientos y suministros</t>
  </si>
  <si>
    <t>División de química intermedia</t>
  </si>
  <si>
    <t>División de farmacia</t>
  </si>
  <si>
    <t>Millones de euros</t>
  </si>
  <si>
    <t>Ebitda</t>
  </si>
  <si>
    <t>Amortizaciones</t>
  </si>
  <si>
    <t>Ebit</t>
  </si>
  <si>
    <t>Resultado financiero</t>
  </si>
  <si>
    <t>Resultado antes de impuestos</t>
  </si>
  <si>
    <t>Impuestos</t>
  </si>
  <si>
    <t>Resultado del ejercicio</t>
  </si>
  <si>
    <t>Activos</t>
  </si>
  <si>
    <t>Pasivos</t>
  </si>
  <si>
    <t>Inversiones en inmovilizado</t>
  </si>
  <si>
    <t>Cifra de negocios</t>
  </si>
  <si>
    <t>División de derivados del cloro</t>
  </si>
  <si>
    <t xml:space="preserve"> -</t>
  </si>
  <si>
    <t>Variación</t>
  </si>
  <si>
    <t>Activos no corrientes</t>
  </si>
  <si>
    <t>Capital circulante</t>
  </si>
  <si>
    <t>Pasivos corrientes</t>
  </si>
  <si>
    <t>Recursos empleados</t>
  </si>
  <si>
    <t>Préstamos no corrientes</t>
  </si>
  <si>
    <t>Préstamos corrientes</t>
  </si>
  <si>
    <t>Saldos deudores</t>
  </si>
  <si>
    <t>Provisiones y otras deudas</t>
  </si>
  <si>
    <t>Origen de fondos</t>
  </si>
  <si>
    <t>Activos corrientes</t>
  </si>
  <si>
    <t>Impuestos a las ganancias</t>
  </si>
  <si>
    <t>Diferencias de cambio</t>
  </si>
  <si>
    <t>Gastos financieros</t>
  </si>
  <si>
    <t>Gastos de personal</t>
  </si>
  <si>
    <t>Otros gastos de explotación</t>
  </si>
  <si>
    <t>Gastos</t>
  </si>
  <si>
    <t>Variación de existencias de productos terminados y en curso</t>
  </si>
  <si>
    <t xml:space="preserve">Otros ingresos  </t>
  </si>
  <si>
    <t>Ingresos</t>
  </si>
  <si>
    <t>Gastos variables</t>
  </si>
  <si>
    <t>Otros gastos variables</t>
  </si>
  <si>
    <t>Gastos fijos</t>
  </si>
  <si>
    <t>Personal</t>
  </si>
  <si>
    <t>Otros gastos fijos</t>
  </si>
  <si>
    <t>Gastos no recurrentes</t>
  </si>
  <si>
    <t>Otros gastos no recurrentes</t>
  </si>
  <si>
    <t>Actividad con certificación de prevención (%)</t>
  </si>
  <si>
    <t>Actividad con certificación ambiental (%)</t>
  </si>
  <si>
    <t>Actividad con certificación de calidad (%)</t>
  </si>
  <si>
    <t>Índice de emisiones</t>
  </si>
  <si>
    <t>Absentismo</t>
  </si>
  <si>
    <t>IFG global</t>
  </si>
  <si>
    <t>IF</t>
  </si>
  <si>
    <t>Sociales</t>
  </si>
  <si>
    <t>PER</t>
  </si>
  <si>
    <t>CFA (euros)</t>
  </si>
  <si>
    <t>BPA (euros)</t>
  </si>
  <si>
    <t>Capitalización (millones de euros)</t>
  </si>
  <si>
    <t>Cotización (euros/acción)</t>
  </si>
  <si>
    <t>Bursátiles</t>
  </si>
  <si>
    <t>Margen de ebitda/ventas (%)</t>
  </si>
  <si>
    <t>Margen bruto/ingresos (%)</t>
  </si>
  <si>
    <t>Productividad (euros/persona)</t>
  </si>
  <si>
    <t>Valor añadido (millones de euros)</t>
  </si>
  <si>
    <t>Producción (millones de toneladas)</t>
  </si>
  <si>
    <t>Operativos</t>
  </si>
  <si>
    <t>Período medio de pago (días)</t>
  </si>
  <si>
    <t>Período medio de cobro (días)</t>
  </si>
  <si>
    <t>ROCE (%)</t>
  </si>
  <si>
    <t>Cobertura de la deuda</t>
  </si>
  <si>
    <t>Endeudamiento</t>
  </si>
  <si>
    <t>Solvencia</t>
  </si>
  <si>
    <t>Liquidez</t>
  </si>
  <si>
    <t>Financieros</t>
  </si>
  <si>
    <t>Ejercicio
2015</t>
  </si>
  <si>
    <t>Ejercicio
2016</t>
  </si>
  <si>
    <t>Ratio DFN/PN+DFN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</si>
  <si>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</si>
  <si>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Variación
(%)</t>
  </si>
  <si>
    <t>Variación
(M€)</t>
  </si>
  <si>
    <t>CUENTA DE PÉRDIDAS Y GANANCIAS CONSOLIDADA</t>
  </si>
  <si>
    <t>CUENTA DE PÉRDIDAS Y GANANCIAS DE LAS DIVISIONES</t>
  </si>
  <si>
    <t>División de
derivados del cloro</t>
  </si>
  <si>
    <t>División de
química intermedia</t>
  </si>
  <si>
    <t>División de
farmacia</t>
  </si>
  <si>
    <t>Total consolidado</t>
  </si>
  <si>
    <t> ( %)</t>
  </si>
  <si>
    <t>Resultado por reversión del deterioro de activos</t>
  </si>
  <si>
    <t>Cuota
(%)</t>
  </si>
  <si>
    <t>Nacional</t>
  </si>
  <si>
    <t>Resto de la U.E.</t>
  </si>
  <si>
    <t>Resto de la O.C.D.E.</t>
  </si>
  <si>
    <t>VENTAS POR ÁREAS GEOGRÁFICAS</t>
  </si>
  <si>
    <t>Ventas división
(%)</t>
  </si>
  <si>
    <t xml:space="preserve"> Total consolidado</t>
  </si>
  <si>
    <t>Compras división
(%)</t>
  </si>
  <si>
    <t>Neto</t>
  </si>
  <si>
    <t>Equiv.
€</t>
  </si>
  <si>
    <t>Aprovisionamientos y suministros (A&amp;S)</t>
  </si>
  <si>
    <t>Margen A&amp;S/ventas</t>
  </si>
  <si>
    <t>*</t>
  </si>
  <si>
    <t>* Puntos porcentuales</t>
  </si>
  <si>
    <t>Número de personas</t>
  </si>
  <si>
    <t>COMPRAS Y VENTAS EN DÓLARES</t>
  </si>
  <si>
    <t>APROVISIONAMIENTOS Y SUMINISTROS</t>
  </si>
  <si>
    <t>ESTRUCTURA DE LA PLANTILLA MEDIA</t>
  </si>
  <si>
    <t>ESTRUCTURA DE COSTES</t>
  </si>
  <si>
    <t>ANÁLISIS ECONÓMICO DEL BALANCE</t>
  </si>
  <si>
    <t>Patrimonio neto (PN)</t>
  </si>
  <si>
    <t>Deuda financiera neta (DFN)</t>
  </si>
  <si>
    <t>Ratio DFN/ebitda</t>
  </si>
  <si>
    <t>INDICADORES FUNDAMENTALES</t>
  </si>
  <si>
    <r>
      <t>1.</t>
    </r>
    <r>
      <rPr>
        <vertAlign val="superscript"/>
        <sz val="7"/>
        <color theme="1"/>
        <rFont val="Times New Roman"/>
        <family val="1"/>
      </rPr>
      <t xml:space="preserve">       </t>
    </r>
    <r>
      <rPr>
        <sz val="10"/>
        <color theme="1"/>
        <rFont val="Times New Roman"/>
        <family val="1"/>
      </rPr>
      <t>Emisiones directas e indirectas de CO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 xml:space="preserve"> equivalente (alcances 1 y 2).</t>
    </r>
  </si>
  <si>
    <r>
      <t>2.</t>
    </r>
    <r>
      <rPr>
        <vertAlign val="superscript"/>
        <sz val="7"/>
        <color theme="1"/>
        <rFont val="Times New Roman"/>
        <family val="1"/>
      </rPr>
      <t xml:space="preserve">       </t>
    </r>
    <r>
      <rPr>
        <sz val="10"/>
        <color theme="1"/>
        <rFont val="Times New Roman"/>
        <family val="1"/>
      </rPr>
      <t>Pendiente de verificación externa.</t>
    </r>
  </si>
  <si>
    <r>
      <t>Emisiones de CO</t>
    </r>
    <r>
      <rPr>
        <vertAlign val="subscript"/>
        <sz val="12"/>
        <color theme="1"/>
        <rFont val="Times New Roman"/>
        <family val="1"/>
      </rPr>
      <t xml:space="preserve">2 </t>
    </r>
    <r>
      <rPr>
        <sz val="12"/>
        <color theme="1"/>
        <rFont val="Times New Roman"/>
        <family val="1"/>
      </rPr>
      <t>(millones de toneladas de CO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 equivalente)</t>
    </r>
    <r>
      <rPr>
        <vertAlign val="superscript"/>
        <sz val="12"/>
        <color theme="1"/>
        <rFont val="Times New Roman"/>
        <family val="1"/>
      </rPr>
      <t>1,2</t>
    </r>
  </si>
  <si>
    <t>Margen ebitda/cifra de negocios ( %)</t>
  </si>
  <si>
    <t>Método de cálculo y propósito de cada indicador</t>
  </si>
  <si>
    <t>Liquidez: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</si>
  <si>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activos corrientes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pasivos corrientes.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</si>
  <si>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evaluar la capacidad para hacer frente a los compromisos de pago a corto plazo.</t>
    </r>
  </si>
  <si>
    <t>Solvencia: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</si>
  <si>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(patrimonio neto + pasivos no corrientes)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activos no corrientes.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</si>
  <si>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evaluar en qué medida los activos no corrientes están financiados con recursos permanentes.</t>
    </r>
  </si>
  <si>
    <t>Endeudamiento: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</si>
  <si>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deuda neta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capital empleado.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</si>
  <si>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evaluar el grado de financiación ajena del Grupo.</t>
    </r>
  </si>
  <si>
    <t>Cobertura de la deuda: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</si>
  <si>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deuda neta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resultado bruto de explotación.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</si>
  <si>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evaluar la capacidad de devolución de la financiación ajena en número de años.</t>
    </r>
  </si>
  <si>
    <t>ROCE: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</si>
  <si>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resultado de explotación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recursos empleados.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</si>
  <si>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evaluar la capacidad de los activos en explotación para generar beneficios operativos.</t>
    </r>
  </si>
  <si>
    <t>Período medio de cobro: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</si>
  <si>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(deudores medios del ejercicio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ventas) </t>
    </r>
    <r>
      <rPr>
        <sz val="10"/>
        <color theme="1"/>
        <rFont val="Symbol"/>
        <family val="1"/>
        <charset val="2"/>
      </rPr>
      <t>´</t>
    </r>
    <r>
      <rPr>
        <sz val="10"/>
        <color theme="1"/>
        <rFont val="Times New Roman"/>
        <family val="1"/>
      </rPr>
      <t xml:space="preserve"> 365.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</si>
  <si>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evaluar el promedio de días que transcurre entre las ventas y los cobros totales del ejercicio.</t>
    </r>
  </si>
  <si>
    <t>Período medio de pago: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</si>
  <si>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(acreedores medios del ejercicio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costes de explotación) </t>
    </r>
    <r>
      <rPr>
        <sz val="10"/>
        <color theme="1"/>
        <rFont val="Symbol"/>
        <family val="1"/>
        <charset val="2"/>
      </rPr>
      <t>´</t>
    </r>
    <r>
      <rPr>
        <sz val="10"/>
        <color theme="1"/>
        <rFont val="Times New Roman"/>
        <family val="1"/>
      </rPr>
      <t xml:space="preserve"> 365.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</si>
  <si>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evaluar el promedio de días que transcurre entre las compras y los pagos totales del ejercicio.</t>
    </r>
  </si>
  <si>
    <t>Producción: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</si>
  <si>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Cálculo: volumen de unidades producidas.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</si>
  <si>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medir el número de unidades físicas producidas.</t>
    </r>
  </si>
  <si>
    <t>Valor añadido: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</si>
  <si>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Cálculo: resultado bruto de explotación + gastos de personal.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</si>
  <si>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medir la riqueza que genera el Grupo.</t>
    </r>
  </si>
  <si>
    <t>Productividad: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</si>
  <si>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valor añadido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nº de empleados.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</si>
  <si>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medir la contribución media por empleado a la generación de valor añadido del Grupo.</t>
    </r>
  </si>
  <si>
    <r>
      <t xml:space="preserve">Margen bruto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ingresos: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</si>
  <si>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(ingresos </t>
    </r>
    <r>
      <rPr>
        <sz val="10"/>
        <color theme="1"/>
        <rFont val="Symbol"/>
        <family val="1"/>
        <charset val="2"/>
      </rPr>
      <t>-</t>
    </r>
    <r>
      <rPr>
        <sz val="10"/>
        <color theme="1"/>
        <rFont val="Times New Roman"/>
        <family val="1"/>
      </rPr>
      <t xml:space="preserve"> aprovisionamientos)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ingresos.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</si>
  <si>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evaluar la rentabilidad de la cartera de productos del Grupo.</t>
    </r>
  </si>
  <si>
    <r>
      <t xml:space="preserve">Margen de ebitda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ventas: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</si>
  <si>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resultado bruto de explotación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ventas.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</si>
  <si>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medir la rentabilidad de las ventas en relación con los beneficios brutos de explotación obtenidos.</t>
    </r>
  </si>
  <si>
    <t>Cotización: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</si>
  <si>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Cálculo: precio de la cotización de la acción de Ercros al cierre del ejercicio.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</si>
  <si>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conocer el valor dado por el mercado a cada acción de la Sociedad.</t>
    </r>
  </si>
  <si>
    <t>Capitalización: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</si>
  <si>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precio de cotización al cierre </t>
    </r>
    <r>
      <rPr>
        <sz val="10"/>
        <color theme="1"/>
        <rFont val="Symbol"/>
        <family val="1"/>
        <charset val="2"/>
      </rPr>
      <t>´</t>
    </r>
    <r>
      <rPr>
        <sz val="10"/>
        <color theme="1"/>
        <rFont val="Times New Roman"/>
        <family val="1"/>
      </rPr>
      <t xml:space="preserve"> número de acciones emitidas.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</si>
  <si>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conocer el valor que el mercado le asigna a los fondos propios de la Sociedad.</t>
    </r>
  </si>
  <si>
    <t>BPA: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</si>
  <si>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resultado del ejercicio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número de acciones.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</si>
  <si>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medir el beneficio que corresponde a cada acción.</t>
    </r>
  </si>
  <si>
    <t>CFA: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</si>
  <si>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</t>
    </r>
    <r>
      <rPr>
        <i/>
        <sz val="10"/>
        <color theme="1"/>
        <rFont val="Times New Roman"/>
        <family val="1"/>
      </rPr>
      <t>cash flow</t>
    </r>
    <r>
      <rPr>
        <sz val="10"/>
        <color theme="1"/>
        <rFont val="Times New Roman"/>
        <family val="1"/>
      </rPr>
      <t xml:space="preserve"> de explotación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número de acciones.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</si>
  <si>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medir el flujo de dinero generado que corresponde a cada acción.</t>
    </r>
  </si>
  <si>
    <t>PER: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</si>
  <si>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capitalización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resultado del ejercicio.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</si>
  <si>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conocer el número de veces que el beneficio por acción está incluido en el valor de la acción.</t>
    </r>
  </si>
  <si>
    <t>PVC ó P/BV: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</si>
  <si>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capitalización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patrimonio neto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</si>
  <si>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relacionar el valor de la Sociedad en la Bolsa con su valor teórico contable.</t>
    </r>
  </si>
  <si>
    <t>IF: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</si>
  <si>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Cálculo: número de accidentes con baja del personal propio por cada millón de horas trabajadas.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</si>
  <si>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medir la accidentabilidad del personal propio.</t>
    </r>
  </si>
  <si>
    <t xml:space="preserve">IFG global: 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</si>
  <si>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número de accidentes con y sin baja del personal propio y ajeno </t>
    </r>
    <r>
      <rPr>
        <sz val="10"/>
        <color theme="1"/>
        <rFont val="Symbol"/>
        <family val="1"/>
        <charset val="2"/>
      </rPr>
      <t>´</t>
    </r>
    <r>
      <rPr>
        <sz val="10"/>
        <color theme="1"/>
        <rFont val="Times New Roman"/>
        <family val="1"/>
      </rPr>
      <t xml:space="preserve"> cada millón de horas trabajadas.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</si>
  <si>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medir la accidentabilidad total -con y sin baja- de todas las personas que trabajan en las instalaciones del Grupo, sean o no de la plantilla del Grupo.</t>
    </r>
  </si>
  <si>
    <t>Absentismo: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</si>
  <si>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porcentaje de jornadas perdidas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total de jornadas teóricas a trabajar en el año.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</si>
  <si>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conocer el porcentaje de jornadas perdidas por enfermedad común.</t>
    </r>
  </si>
  <si>
    <t>Índice de emisiones: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</si>
  <si>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volumen de los contaminantes más significativos (atmósfera, aguas y residuos) </t>
    </r>
    <r>
      <rPr>
        <sz val="10"/>
        <color theme="1"/>
        <rFont val="Symbol"/>
        <family val="1"/>
        <charset val="2"/>
      </rPr>
      <t>´</t>
    </r>
    <r>
      <rPr>
        <sz val="10"/>
        <color theme="1"/>
        <rFont val="Times New Roman"/>
        <family val="1"/>
      </rPr>
      <t xml:space="preserve"> un factor que varía en función de su peligrosidad.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</si>
  <si>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medir la evolución del comportamiento ambiental del Grupo.</t>
    </r>
  </si>
  <si>
    <r>
      <t>Emisiones de CO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 xml:space="preserve">: 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</si>
  <si>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Cálculo: según las directrices de la norma UNE-EN ISO 14064-1:2012.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</si>
  <si>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medir la incidencia de la actividad sobre el cambio climático.</t>
    </r>
  </si>
  <si>
    <t>Actividad con certificación de calidad: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</si>
  <si>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porcentaje de centros con certificación ISO 9001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total de centros.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</si>
  <si>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conocer el grado de implantación de un sistema de gestión de la calidad en el Grupo.</t>
    </r>
  </si>
  <si>
    <t>Actividad con certificación ambiental: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</si>
  <si>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porcentaje de centros con certificación ISO 14001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total de centros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</si>
  <si>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conocer el grado de implantación de un sistema de gestión medio ambiental en el Grupo</t>
    </r>
  </si>
  <si>
    <t>Actividad con certificación de prevención: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</si>
  <si>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porcentaje de centros con certificación OHSAS 18001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total de centros.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</si>
  <si>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conocer el grado de implantación de un sistema de gestión de la prevención de riesgos laborales en el Grupo.</t>
    </r>
  </si>
  <si>
    <r>
      <t>+</t>
    </r>
    <r>
      <rPr>
        <sz val="10"/>
        <color theme="1"/>
        <rFont val="Times New Roman"/>
        <family val="1"/>
      </rPr>
      <t xml:space="preserve"> = sumado.</t>
    </r>
  </si>
  <si>
    <r>
      <t>-</t>
    </r>
    <r>
      <rPr>
        <sz val="10"/>
        <color theme="1"/>
        <rFont val="Times New Roman"/>
        <family val="1"/>
      </rPr>
      <t xml:space="preserve"> = restado.</t>
    </r>
  </si>
  <si>
    <r>
      <t>´</t>
    </r>
    <r>
      <rPr>
        <sz val="10"/>
        <color theme="1"/>
        <rFont val="Times New Roman"/>
        <family val="1"/>
      </rPr>
      <t xml:space="preserve"> = multiplicado.</t>
    </r>
  </si>
  <si>
    <r>
      <t>¸</t>
    </r>
    <r>
      <rPr>
        <sz val="10"/>
        <color theme="1"/>
        <rFont val="Times New Roman"/>
        <family val="1"/>
      </rPr>
      <t xml:space="preserve"> = dividido.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</si>
</sst>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164" formatCode="0.0"/>
    <numFmt numFmtId="165" formatCode="0.0%"/>
    <numFmt numFmtId="166" formatCode="#,##0.0"/>
    <numFmt numFmtId="167" formatCode="_-* #,##0.00\ _P_t_s_-;\-* #,##0.00\ _P_t_s_-;_-* &quot;-&quot;??\ _P_t_s_-;_-@_-"/>
    <numFmt numFmtId="168" formatCode="#,##0.00_);\(#,##0.00\)"/>
    <numFmt numFmtId="169" formatCode="dd\-mm\-yy;@"/>
  </numFmts>
  <fonts count="44" x14ac:knownFonts="1">
    <font>
      <sz val="12"/>
      <color theme="1"/>
      <name val="Times New Roman"/>
      <family val="2"/>
    </font>
    <font>
      <b/>
      <sz val="2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8"/>
      <name val="Arial"/>
      <family val="2"/>
    </font>
    <font>
      <sz val="12"/>
      <color theme="1"/>
      <name val="Times New Roman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2"/>
      <color theme="1"/>
      <name val="Calibri"/>
      <family val="2"/>
    </font>
    <font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vertAlign val="subscript"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sz val="11"/>
      <name val="Calibri"/>
      <family val="2"/>
      <scheme val="minor"/>
    </font>
    <font>
      <b/>
      <sz val="12"/>
      <color theme="0"/>
      <name val="Times New Roman"/>
      <family val="2"/>
    </font>
    <font>
      <b/>
      <sz val="12"/>
      <color theme="1"/>
      <name val="Times New Roman"/>
      <family val="2"/>
    </font>
    <font>
      <sz val="12"/>
      <color theme="0"/>
      <name val="Times New Roman"/>
      <family val="2"/>
    </font>
    <font>
      <b/>
      <sz val="12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sz val="12"/>
      <color theme="0"/>
      <name val="Calibri"/>
      <family val="2"/>
    </font>
    <font>
      <sz val="14"/>
      <color theme="0"/>
      <name val="Calibri"/>
      <family val="2"/>
    </font>
    <font>
      <sz val="14"/>
      <color theme="0"/>
      <name val="Times New Roman"/>
      <family val="2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2"/>
    </font>
    <font>
      <b/>
      <sz val="14"/>
      <color theme="1"/>
      <name val="Times New Roman"/>
      <family val="2"/>
    </font>
    <font>
      <b/>
      <sz val="14"/>
      <color theme="0"/>
      <name val="Times New Roman"/>
      <family val="2"/>
    </font>
    <font>
      <b/>
      <sz val="14"/>
      <name val="Times New Roman"/>
      <family val="1"/>
    </font>
    <font>
      <sz val="10"/>
      <color theme="1"/>
      <name val="Times New Roman"/>
      <family val="2"/>
    </font>
    <font>
      <b/>
      <sz val="14"/>
      <color indexed="8"/>
      <name val="Times New Roman"/>
      <family val="1"/>
    </font>
    <font>
      <vertAlign val="superscript"/>
      <sz val="10"/>
      <color theme="1"/>
      <name val="Times New Roman"/>
      <family val="1"/>
    </font>
    <font>
      <vertAlign val="superscript"/>
      <sz val="7"/>
      <color theme="1"/>
      <name val="Times New Roman"/>
      <family val="1"/>
    </font>
    <font>
      <vertAlign val="subscript"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7"/>
      <color theme="1"/>
      <name val="Times New Roman"/>
      <family val="1"/>
    </font>
    <font>
      <sz val="10"/>
      <color theme="1"/>
      <name val="Symbol"/>
      <family val="1"/>
      <charset val="2"/>
    </font>
    <font>
      <i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9">
    <xf numFmtId="0" fontId="0" fillId="0" borderId="0"/>
    <xf numFmtId="0" fontId="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2" fillId="0" borderId="0"/>
    <xf numFmtId="167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6" fillId="0" borderId="0"/>
    <xf numFmtId="0" fontId="5" fillId="0" borderId="0"/>
  </cellStyleXfs>
  <cellXfs count="278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justify" vertical="center"/>
    </xf>
    <xf numFmtId="2" fontId="0" fillId="0" borderId="0" xfId="0" applyNumberFormat="1"/>
    <xf numFmtId="0" fontId="3" fillId="0" borderId="0" xfId="0" applyFont="1"/>
    <xf numFmtId="0" fontId="3" fillId="0" borderId="0" xfId="0" applyFont="1" applyFill="1"/>
    <xf numFmtId="0" fontId="2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8" fillId="0" borderId="0" xfId="0" applyFont="1"/>
    <xf numFmtId="4" fontId="8" fillId="0" borderId="0" xfId="0" applyNumberFormat="1" applyFont="1"/>
    <xf numFmtId="2" fontId="2" fillId="0" borderId="0" xfId="0" applyNumberFormat="1" applyFont="1"/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0" fillId="0" borderId="0" xfId="0" applyFont="1"/>
    <xf numFmtId="4" fontId="6" fillId="0" borderId="0" xfId="0" applyNumberFormat="1" applyFont="1" applyFill="1" applyBorder="1" applyAlignment="1">
      <alignment horizontal="right"/>
    </xf>
    <xf numFmtId="0" fontId="2" fillId="2" borderId="0" xfId="0" applyFont="1" applyFill="1" applyBorder="1"/>
    <xf numFmtId="4" fontId="2" fillId="2" borderId="0" xfId="0" applyNumberFormat="1" applyFont="1" applyFill="1" applyBorder="1"/>
    <xf numFmtId="0" fontId="3" fillId="0" borderId="0" xfId="0" applyFont="1" applyFill="1" applyBorder="1"/>
    <xf numFmtId="4" fontId="2" fillId="2" borderId="0" xfId="2" applyNumberFormat="1" applyFont="1" applyFill="1" applyBorder="1"/>
    <xf numFmtId="2" fontId="3" fillId="0" borderId="0" xfId="0" applyNumberFormat="1" applyFont="1" applyBorder="1"/>
    <xf numFmtId="2" fontId="2" fillId="2" borderId="0" xfId="0" applyNumberFormat="1" applyFont="1" applyFill="1" applyBorder="1"/>
    <xf numFmtId="0" fontId="0" fillId="0" borderId="0" xfId="0" applyBorder="1"/>
    <xf numFmtId="2" fontId="0" fillId="0" borderId="0" xfId="0" applyNumberFormat="1" applyBorder="1"/>
    <xf numFmtId="9" fontId="0" fillId="0" borderId="0" xfId="2" applyFont="1"/>
    <xf numFmtId="165" fontId="0" fillId="0" borderId="0" xfId="2" applyNumberFormat="1" applyFont="1" applyBorder="1"/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vertical="center"/>
    </xf>
    <xf numFmtId="2" fontId="3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165" fontId="2" fillId="0" borderId="0" xfId="2" applyNumberFormat="1" applyFont="1" applyBorder="1" applyAlignment="1">
      <alignment horizontal="right" vertical="center"/>
    </xf>
    <xf numFmtId="165" fontId="2" fillId="0" borderId="0" xfId="2" applyNumberFormat="1" applyFont="1" applyBorder="1" applyAlignment="1">
      <alignment horizontal="right" vertical="center" wrapText="1"/>
    </xf>
    <xf numFmtId="164" fontId="0" fillId="0" borderId="0" xfId="0" applyNumberFormat="1" applyFont="1"/>
    <xf numFmtId="0" fontId="8" fillId="0" borderId="0" xfId="0" applyFont="1" applyBorder="1"/>
    <xf numFmtId="4" fontId="8" fillId="0" borderId="0" xfId="0" applyNumberFormat="1" applyFont="1" applyBorder="1"/>
    <xf numFmtId="0" fontId="15" fillId="0" borderId="0" xfId="0" applyFont="1"/>
    <xf numFmtId="4" fontId="15" fillId="0" borderId="0" xfId="0" applyNumberFormat="1" applyFont="1"/>
    <xf numFmtId="0" fontId="15" fillId="0" borderId="0" xfId="7" applyFont="1"/>
    <xf numFmtId="4" fontId="15" fillId="0" borderId="0" xfId="7" applyNumberFormat="1" applyFont="1"/>
    <xf numFmtId="0" fontId="8" fillId="0" borderId="0" xfId="7" applyFont="1"/>
    <xf numFmtId="0" fontId="6" fillId="0" borderId="0" xfId="8" applyFont="1" applyBorder="1"/>
    <xf numFmtId="0" fontId="6" fillId="0" borderId="0" xfId="8" applyFont="1" applyFill="1" applyBorder="1"/>
    <xf numFmtId="2" fontId="6" fillId="0" borderId="0" xfId="8" applyNumberFormat="1" applyFont="1" applyFill="1" applyBorder="1"/>
    <xf numFmtId="0" fontId="0" fillId="0" borderId="0" xfId="0" applyFill="1"/>
    <xf numFmtId="2" fontId="6" fillId="0" borderId="0" xfId="8" applyNumberFormat="1" applyFont="1" applyFill="1" applyBorder="1" applyAlignment="1">
      <alignment horizontal="right"/>
    </xf>
    <xf numFmtId="4" fontId="7" fillId="0" borderId="0" xfId="2" applyNumberFormat="1" applyFont="1" applyFill="1" applyBorder="1"/>
    <xf numFmtId="2" fontId="7" fillId="0" borderId="0" xfId="8" applyNumberFormat="1" applyFont="1" applyFill="1" applyBorder="1" applyAlignment="1">
      <alignment horizontal="right"/>
    </xf>
    <xf numFmtId="4" fontId="6" fillId="0" borderId="0" xfId="2" applyNumberFormat="1" applyFont="1" applyFill="1" applyBorder="1"/>
    <xf numFmtId="0" fontId="3" fillId="0" borderId="0" xfId="0" applyFont="1"/>
    <xf numFmtId="1" fontId="3" fillId="0" borderId="0" xfId="0" applyNumberFormat="1" applyFont="1" applyFill="1" applyAlignment="1">
      <alignment horizontal="right" vertical="center" wrapText="1"/>
    </xf>
    <xf numFmtId="164" fontId="0" fillId="0" borderId="0" xfId="0" applyNumberFormat="1"/>
    <xf numFmtId="165" fontId="0" fillId="0" borderId="0" xfId="2" applyNumberFormat="1" applyFont="1"/>
    <xf numFmtId="0" fontId="0" fillId="0" borderId="0" xfId="0" applyFill="1" applyBorder="1"/>
    <xf numFmtId="166" fontId="15" fillId="0" borderId="0" xfId="7" applyNumberFormat="1" applyFont="1"/>
    <xf numFmtId="2" fontId="0" fillId="0" borderId="0" xfId="0" applyNumberFormat="1" applyFont="1"/>
    <xf numFmtId="0" fontId="15" fillId="0" borderId="0" xfId="7" applyFont="1"/>
    <xf numFmtId="0" fontId="2" fillId="0" borderId="0" xfId="0" applyFont="1" applyBorder="1" applyAlignment="1">
      <alignment horizontal="center"/>
    </xf>
    <xf numFmtId="0" fontId="3" fillId="0" borderId="0" xfId="0" applyFont="1"/>
    <xf numFmtId="0" fontId="2" fillId="0" borderId="0" xfId="0" applyFont="1" applyFill="1" applyAlignment="1">
      <alignment horizontal="left" vertical="center"/>
    </xf>
    <xf numFmtId="4" fontId="8" fillId="0" borderId="0" xfId="7" applyNumberFormat="1" applyFont="1" applyBorder="1"/>
    <xf numFmtId="0" fontId="8" fillId="0" borderId="0" xfId="7" applyFont="1" applyBorder="1"/>
    <xf numFmtId="169" fontId="8" fillId="0" borderId="0" xfId="7" applyNumberFormat="1" applyFont="1" applyBorder="1" applyAlignment="1">
      <alignment horizontal="center" wrapText="1"/>
    </xf>
    <xf numFmtId="0" fontId="8" fillId="0" borderId="0" xfId="7" applyFont="1" applyBorder="1" applyAlignment="1">
      <alignment horizontal="center"/>
    </xf>
    <xf numFmtId="2" fontId="15" fillId="0" borderId="0" xfId="7" applyNumberFormat="1" applyFont="1" applyBorder="1" applyAlignment="1">
      <alignment horizontal="right"/>
    </xf>
    <xf numFmtId="4" fontId="15" fillId="0" borderId="0" xfId="7" applyNumberFormat="1" applyFont="1" applyBorder="1"/>
    <xf numFmtId="169" fontId="23" fillId="4" borderId="0" xfId="7" applyNumberFormat="1" applyFont="1" applyFill="1" applyBorder="1" applyAlignment="1">
      <alignment horizontal="center" wrapText="1"/>
    </xf>
    <xf numFmtId="2" fontId="15" fillId="0" borderId="0" xfId="7" applyNumberFormat="1" applyFont="1" applyBorder="1"/>
    <xf numFmtId="4" fontId="15" fillId="0" borderId="0" xfId="7" applyNumberFormat="1" applyFont="1" applyBorder="1" applyAlignment="1">
      <alignment horizontal="right"/>
    </xf>
    <xf numFmtId="4" fontId="2" fillId="2" borderId="0" xfId="7" applyNumberFormat="1" applyFont="1" applyFill="1" applyBorder="1"/>
    <xf numFmtId="2" fontId="2" fillId="2" borderId="0" xfId="7" applyNumberFormat="1" applyFont="1" applyFill="1" applyBorder="1" applyAlignment="1">
      <alignment horizontal="right"/>
    </xf>
    <xf numFmtId="4" fontId="25" fillId="2" borderId="0" xfId="7" applyNumberFormat="1" applyFont="1" applyFill="1" applyBorder="1"/>
    <xf numFmtId="2" fontId="25" fillId="2" borderId="0" xfId="7" applyNumberFormat="1" applyFont="1" applyFill="1" applyBorder="1" applyAlignment="1">
      <alignment horizontal="right"/>
    </xf>
    <xf numFmtId="0" fontId="14" fillId="0" borderId="0" xfId="0" applyFont="1" applyBorder="1"/>
    <xf numFmtId="0" fontId="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wrapText="1"/>
    </xf>
    <xf numFmtId="0" fontId="0" fillId="0" borderId="0" xfId="0" applyFont="1" applyBorder="1"/>
    <xf numFmtId="0" fontId="14" fillId="0" borderId="0" xfId="0" applyFont="1" applyBorder="1" applyAlignment="1">
      <alignment horizontal="right" wrapText="1"/>
    </xf>
    <xf numFmtId="0" fontId="10" fillId="0" borderId="0" xfId="0" applyFont="1" applyBorder="1" applyAlignment="1">
      <alignment horizontal="left" vertical="center" wrapText="1"/>
    </xf>
    <xf numFmtId="4" fontId="0" fillId="0" borderId="0" xfId="0" applyNumberFormat="1" applyFont="1" applyBorder="1" applyAlignment="1">
      <alignment horizontal="right"/>
    </xf>
    <xf numFmtId="4" fontId="0" fillId="0" borderId="0" xfId="0" applyNumberFormat="1" applyFont="1" applyBorder="1"/>
    <xf numFmtId="0" fontId="2" fillId="0" borderId="0" xfId="0" applyFont="1" applyBorder="1"/>
    <xf numFmtId="0" fontId="26" fillId="0" borderId="0" xfId="0" applyFont="1" applyBorder="1" applyAlignment="1">
      <alignment wrapText="1"/>
    </xf>
    <xf numFmtId="0" fontId="22" fillId="0" borderId="0" xfId="0" applyFont="1" applyBorder="1"/>
    <xf numFmtId="0" fontId="23" fillId="4" borderId="0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 wrapText="1"/>
    </xf>
    <xf numFmtId="0" fontId="29" fillId="2" borderId="0" xfId="0" applyFont="1" applyFill="1" applyBorder="1" applyAlignment="1">
      <alignment horizontal="left" vertical="center" wrapText="1"/>
    </xf>
    <xf numFmtId="4" fontId="25" fillId="2" borderId="0" xfId="0" applyNumberFormat="1" applyFont="1" applyFill="1" applyBorder="1"/>
    <xf numFmtId="4" fontId="10" fillId="0" borderId="0" xfId="0" applyNumberFormat="1" applyFont="1" applyBorder="1" applyAlignment="1">
      <alignment horizontal="right" vertical="center" wrapText="1"/>
    </xf>
    <xf numFmtId="4" fontId="0" fillId="0" borderId="0" xfId="2" applyNumberFormat="1" applyFont="1" applyBorder="1" applyAlignment="1">
      <alignment horizontal="right"/>
    </xf>
    <xf numFmtId="4" fontId="14" fillId="0" borderId="0" xfId="0" applyNumberFormat="1" applyFont="1" applyBorder="1" applyAlignment="1">
      <alignment vertical="top" wrapText="1"/>
    </xf>
    <xf numFmtId="4" fontId="14" fillId="0" borderId="0" xfId="0" applyNumberFormat="1" applyFont="1" applyBorder="1" applyAlignment="1">
      <alignment horizontal="right" vertical="top" wrapText="1"/>
    </xf>
    <xf numFmtId="4" fontId="11" fillId="2" borderId="0" xfId="0" applyNumberFormat="1" applyFont="1" applyFill="1" applyBorder="1" applyAlignment="1">
      <alignment horizontal="right" vertical="center" wrapText="1"/>
    </xf>
    <xf numFmtId="4" fontId="11" fillId="2" borderId="0" xfId="0" applyNumberFormat="1" applyFont="1" applyFill="1" applyBorder="1" applyAlignment="1">
      <alignment horizontal="left" vertical="center" wrapText="1"/>
    </xf>
    <xf numFmtId="4" fontId="2" fillId="2" borderId="0" xfId="0" applyNumberFormat="1" applyFont="1" applyFill="1" applyBorder="1" applyAlignment="1">
      <alignment horizontal="right"/>
    </xf>
    <xf numFmtId="4" fontId="2" fillId="2" borderId="0" xfId="2" applyNumberFormat="1" applyFont="1" applyFill="1" applyBorder="1" applyAlignment="1">
      <alignment horizontal="right"/>
    </xf>
    <xf numFmtId="4" fontId="0" fillId="2" borderId="0" xfId="0" applyNumberFormat="1" applyFont="1" applyFill="1" applyBorder="1"/>
    <xf numFmtId="4" fontId="29" fillId="2" borderId="0" xfId="0" applyNumberFormat="1" applyFont="1" applyFill="1" applyBorder="1" applyAlignment="1">
      <alignment horizontal="right" vertical="center" wrapText="1"/>
    </xf>
    <xf numFmtId="4" fontId="25" fillId="2" borderId="0" xfId="2" applyNumberFormat="1" applyFont="1" applyFill="1" applyBorder="1" applyAlignment="1">
      <alignment horizontal="right"/>
    </xf>
    <xf numFmtId="4" fontId="29" fillId="2" borderId="0" xfId="0" applyNumberFormat="1" applyFont="1" applyFill="1" applyBorder="1" applyAlignment="1">
      <alignment horizontal="left" vertical="center" wrapText="1"/>
    </xf>
    <xf numFmtId="4" fontId="30" fillId="2" borderId="0" xfId="0" applyNumberFormat="1" applyFont="1" applyFill="1" applyBorder="1"/>
    <xf numFmtId="4" fontId="10" fillId="0" borderId="0" xfId="0" applyNumberFormat="1" applyFont="1" applyFill="1" applyBorder="1" applyAlignment="1">
      <alignment horizontal="right" vertical="center" wrapText="1"/>
    </xf>
    <xf numFmtId="4" fontId="14" fillId="0" borderId="0" xfId="0" applyNumberFormat="1" applyFont="1" applyFill="1" applyBorder="1" applyAlignment="1">
      <alignment vertical="top" wrapText="1"/>
    </xf>
    <xf numFmtId="165" fontId="2" fillId="0" borderId="0" xfId="2" applyNumberFormat="1" applyFont="1" applyBorder="1"/>
    <xf numFmtId="4" fontId="0" fillId="0" borderId="0" xfId="0" applyNumberFormat="1" applyBorder="1"/>
    <xf numFmtId="9" fontId="0" fillId="0" borderId="0" xfId="2" applyFont="1" applyBorder="1"/>
    <xf numFmtId="4" fontId="0" fillId="0" borderId="0" xfId="2" applyNumberFormat="1" applyFont="1" applyBorder="1"/>
    <xf numFmtId="168" fontId="6" fillId="0" borderId="0" xfId="0" applyNumberFormat="1" applyFont="1" applyFill="1" applyBorder="1"/>
    <xf numFmtId="3" fontId="7" fillId="3" borderId="0" xfId="0" applyNumberFormat="1" applyFont="1" applyFill="1" applyBorder="1"/>
    <xf numFmtId="4" fontId="3" fillId="0" borderId="0" xfId="0" applyNumberFormat="1" applyFont="1" applyBorder="1" applyAlignment="1">
      <alignment horizontal="right" readingOrder="2"/>
    </xf>
    <xf numFmtId="0" fontId="25" fillId="0" borderId="0" xfId="0" applyFont="1"/>
    <xf numFmtId="0" fontId="25" fillId="0" borderId="0" xfId="0" applyFont="1" applyBorder="1"/>
    <xf numFmtId="0" fontId="25" fillId="0" borderId="0" xfId="0" applyFont="1" applyAlignment="1">
      <alignment horizontal="center"/>
    </xf>
    <xf numFmtId="0" fontId="31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0" fillId="4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4" fontId="2" fillId="2" borderId="0" xfId="0" applyNumberFormat="1" applyFont="1" applyFill="1" applyBorder="1" applyAlignment="1">
      <alignment horizontal="right" readingOrder="2"/>
    </xf>
    <xf numFmtId="4" fontId="7" fillId="2" borderId="0" xfId="2" applyNumberFormat="1" applyFont="1" applyFill="1" applyBorder="1"/>
    <xf numFmtId="168" fontId="2" fillId="2" borderId="0" xfId="0" applyNumberFormat="1" applyFont="1" applyFill="1" applyBorder="1"/>
    <xf numFmtId="168" fontId="2" fillId="2" borderId="0" xfId="0" applyNumberFormat="1" applyFont="1" applyFill="1" applyBorder="1" applyAlignment="1">
      <alignment horizontal="right"/>
    </xf>
    <xf numFmtId="0" fontId="25" fillId="2" borderId="0" xfId="0" applyFont="1" applyFill="1" applyBorder="1"/>
    <xf numFmtId="4" fontId="25" fillId="2" borderId="0" xfId="2" applyNumberFormat="1" applyFont="1" applyFill="1" applyBorder="1"/>
    <xf numFmtId="165" fontId="25" fillId="2" borderId="0" xfId="2" applyNumberFormat="1" applyFont="1" applyFill="1" applyBorder="1"/>
    <xf numFmtId="2" fontId="25" fillId="2" borderId="0" xfId="0" applyNumberFormat="1" applyFont="1" applyFill="1" applyBorder="1"/>
    <xf numFmtId="2" fontId="25" fillId="2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ont="1" applyFill="1" applyBorder="1"/>
    <xf numFmtId="44" fontId="19" fillId="0" borderId="0" xfId="0" applyNumberFormat="1" applyFont="1" applyFill="1" applyBorder="1"/>
    <xf numFmtId="44" fontId="0" fillId="0" borderId="0" xfId="0" applyNumberFormat="1" applyFont="1" applyBorder="1"/>
    <xf numFmtId="0" fontId="6" fillId="0" borderId="0" xfId="0" applyFont="1" applyFill="1" applyBorder="1" applyAlignment="1">
      <alignment horizontal="left"/>
    </xf>
    <xf numFmtId="0" fontId="23" fillId="4" borderId="0" xfId="0" applyFont="1" applyFill="1" applyBorder="1" applyAlignment="1">
      <alignment horizontal="center"/>
    </xf>
    <xf numFmtId="0" fontId="23" fillId="4" borderId="0" xfId="0" applyFont="1" applyFill="1" applyBorder="1" applyAlignment="1">
      <alignment horizontal="center" wrapText="1"/>
    </xf>
    <xf numFmtId="0" fontId="20" fillId="4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center"/>
    </xf>
    <xf numFmtId="4" fontId="6" fillId="0" borderId="0" xfId="2" applyNumberFormat="1" applyFont="1" applyFill="1" applyBorder="1" applyAlignment="1">
      <alignment horizontal="right"/>
    </xf>
    <xf numFmtId="165" fontId="6" fillId="0" borderId="0" xfId="2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right"/>
    </xf>
    <xf numFmtId="4" fontId="6" fillId="0" borderId="0" xfId="0" applyNumberFormat="1" applyFont="1" applyFill="1" applyBorder="1" applyAlignment="1">
      <alignment horizontal="right" vertical="distributed"/>
    </xf>
    <xf numFmtId="0" fontId="2" fillId="0" borderId="0" xfId="0" applyFont="1" applyBorder="1" applyAlignment="1">
      <alignment horizontal="right" vertical="center"/>
    </xf>
    <xf numFmtId="2" fontId="2" fillId="0" borderId="0" xfId="2" applyNumberFormat="1" applyFont="1" applyBorder="1" applyAlignment="1">
      <alignment horizontal="right" vertical="center"/>
    </xf>
    <xf numFmtId="2" fontId="3" fillId="0" borderId="0" xfId="0" applyNumberFormat="1" applyFont="1" applyFill="1" applyBorder="1" applyAlignment="1">
      <alignment horizontal="right" vertical="center"/>
    </xf>
    <xf numFmtId="2" fontId="3" fillId="0" borderId="0" xfId="0" applyNumberFormat="1" applyFont="1" applyBorder="1" applyAlignment="1">
      <alignment vertical="center"/>
    </xf>
    <xf numFmtId="2" fontId="3" fillId="0" borderId="0" xfId="2" applyNumberFormat="1" applyFont="1" applyBorder="1" applyAlignment="1">
      <alignment horizontal="right" vertical="center"/>
    </xf>
    <xf numFmtId="0" fontId="35" fillId="0" borderId="0" xfId="0" applyFont="1"/>
    <xf numFmtId="0" fontId="2" fillId="2" borderId="0" xfId="0" applyFont="1" applyFill="1" applyBorder="1" applyAlignment="1">
      <alignment vertical="center"/>
    </xf>
    <xf numFmtId="2" fontId="2" fillId="2" borderId="0" xfId="0" applyNumberFormat="1" applyFont="1" applyFill="1" applyBorder="1" applyAlignment="1">
      <alignment horizontal="right" vertical="center"/>
    </xf>
    <xf numFmtId="2" fontId="2" fillId="2" borderId="0" xfId="0" applyNumberFormat="1" applyFont="1" applyFill="1" applyBorder="1" applyAlignment="1">
      <alignment vertical="center"/>
    </xf>
    <xf numFmtId="2" fontId="2" fillId="2" borderId="0" xfId="2" applyNumberFormat="1" applyFont="1" applyFill="1" applyBorder="1" applyAlignment="1">
      <alignment horizontal="right" vertical="center"/>
    </xf>
    <xf numFmtId="2" fontId="3" fillId="2" borderId="0" xfId="0" applyNumberFormat="1" applyFont="1" applyFill="1" applyBorder="1"/>
    <xf numFmtId="0" fontId="30" fillId="0" borderId="0" xfId="0" applyFont="1"/>
    <xf numFmtId="0" fontId="25" fillId="2" borderId="0" xfId="0" applyFont="1" applyFill="1" applyBorder="1" applyAlignment="1">
      <alignment vertical="center"/>
    </xf>
    <xf numFmtId="2" fontId="25" fillId="2" borderId="0" xfId="2" applyNumberFormat="1" applyFont="1" applyFill="1" applyBorder="1" applyAlignment="1">
      <alignment vertical="center"/>
    </xf>
    <xf numFmtId="2" fontId="25" fillId="2" borderId="0" xfId="2" applyNumberFormat="1" applyFont="1" applyFill="1" applyBorder="1" applyAlignment="1">
      <alignment horizontal="right" vertical="center"/>
    </xf>
    <xf numFmtId="0" fontId="34" fillId="2" borderId="0" xfId="0" applyFont="1" applyFill="1" applyBorder="1" applyAlignment="1">
      <alignment horizontal="left"/>
    </xf>
    <xf numFmtId="4" fontId="34" fillId="2" borderId="0" xfId="0" applyNumberFormat="1" applyFont="1" applyFill="1" applyBorder="1" applyAlignment="1">
      <alignment horizontal="right"/>
    </xf>
    <xf numFmtId="4" fontId="34" fillId="2" borderId="0" xfId="2" applyNumberFormat="1" applyFont="1" applyFill="1" applyBorder="1" applyAlignment="1">
      <alignment horizontal="right"/>
    </xf>
    <xf numFmtId="165" fontId="34" fillId="2" borderId="0" xfId="2" applyNumberFormat="1" applyFont="1" applyFill="1" applyBorder="1" applyAlignment="1">
      <alignment horizontal="right"/>
    </xf>
    <xf numFmtId="0" fontId="25" fillId="2" borderId="0" xfId="0" applyFont="1" applyFill="1" applyBorder="1" applyAlignment="1">
      <alignment horizontal="right"/>
    </xf>
    <xf numFmtId="4" fontId="25" fillId="2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justify" vertical="center" wrapText="1"/>
    </xf>
    <xf numFmtId="0" fontId="25" fillId="0" borderId="0" xfId="0" applyFont="1" applyFill="1" applyBorder="1" applyAlignment="1">
      <alignment horizontal="center" wrapText="1"/>
    </xf>
    <xf numFmtId="0" fontId="30" fillId="0" borderId="0" xfId="0" applyFont="1" applyBorder="1"/>
    <xf numFmtId="1" fontId="3" fillId="0" borderId="0" xfId="0" applyNumberFormat="1" applyFont="1" applyBorder="1"/>
    <xf numFmtId="2" fontId="3" fillId="0" borderId="0" xfId="2" applyNumberFormat="1" applyFont="1" applyBorder="1"/>
    <xf numFmtId="1" fontId="3" fillId="0" borderId="0" xfId="2" applyNumberFormat="1" applyFont="1" applyBorder="1"/>
    <xf numFmtId="0" fontId="3" fillId="0" borderId="0" xfId="0" applyFont="1" applyFill="1" applyBorder="1" applyAlignment="1">
      <alignment horizontal="justify" vertical="center"/>
    </xf>
    <xf numFmtId="0" fontId="24" fillId="0" borderId="0" xfId="0" applyFont="1" applyFill="1" applyBorder="1" applyAlignment="1">
      <alignment horizontal="center" wrapText="1"/>
    </xf>
    <xf numFmtId="0" fontId="24" fillId="4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0" fillId="0" borderId="0" xfId="0" applyFont="1" applyFill="1"/>
    <xf numFmtId="0" fontId="14" fillId="0" borderId="0" xfId="0" applyFont="1" applyFill="1" applyBorder="1"/>
    <xf numFmtId="0" fontId="24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4" fillId="4" borderId="0" xfId="0" applyFont="1" applyFill="1" applyBorder="1" applyAlignment="1">
      <alignment horizontal="justify" vertical="center" wrapText="1"/>
    </xf>
    <xf numFmtId="3" fontId="24" fillId="4" borderId="0" xfId="0" applyNumberFormat="1" applyFont="1" applyFill="1" applyBorder="1" applyAlignment="1">
      <alignment horizontal="right" vertical="center" wrapText="1"/>
    </xf>
    <xf numFmtId="2" fontId="24" fillId="4" borderId="0" xfId="2" applyNumberFormat="1" applyFont="1" applyFill="1" applyBorder="1"/>
    <xf numFmtId="0" fontId="24" fillId="4" borderId="0" xfId="0" applyFont="1" applyFill="1" applyBorder="1" applyAlignment="1">
      <alignment horizontal="right" vertical="center" wrapText="1"/>
    </xf>
    <xf numFmtId="0" fontId="23" fillId="0" borderId="0" xfId="8" applyFont="1" applyFill="1" applyBorder="1" applyAlignment="1">
      <alignment horizontal="center" vertical="center"/>
    </xf>
    <xf numFmtId="0" fontId="3" fillId="0" borderId="0" xfId="8" applyFont="1" applyFill="1" applyBorder="1" applyAlignment="1">
      <alignment horizontal="left" vertical="center"/>
    </xf>
    <xf numFmtId="0" fontId="7" fillId="2" borderId="0" xfId="8" applyFont="1" applyFill="1" applyBorder="1"/>
    <xf numFmtId="2" fontId="7" fillId="2" borderId="0" xfId="8" applyNumberFormat="1" applyFont="1" applyFill="1" applyBorder="1"/>
    <xf numFmtId="2" fontId="7" fillId="2" borderId="0" xfId="8" applyNumberFormat="1" applyFont="1" applyFill="1" applyBorder="1" applyAlignment="1">
      <alignment horizontal="right"/>
    </xf>
    <xf numFmtId="0" fontId="34" fillId="2" borderId="0" xfId="8" applyFont="1" applyFill="1" applyBorder="1"/>
    <xf numFmtId="2" fontId="34" fillId="2" borderId="0" xfId="8" applyNumberFormat="1" applyFont="1" applyFill="1" applyBorder="1"/>
    <xf numFmtId="2" fontId="34" fillId="2" borderId="0" xfId="8" applyNumberFormat="1" applyFont="1" applyFill="1" applyBorder="1" applyAlignment="1">
      <alignment horizontal="right"/>
    </xf>
    <xf numFmtId="4" fontId="34" fillId="2" borderId="0" xfId="2" applyNumberFormat="1" applyFont="1" applyFill="1" applyBorder="1"/>
    <xf numFmtId="4" fontId="15" fillId="0" borderId="0" xfId="0" applyNumberFormat="1" applyFont="1" applyBorder="1"/>
    <xf numFmtId="2" fontId="15" fillId="0" borderId="0" xfId="0" applyNumberFormat="1" applyFont="1" applyBorder="1"/>
    <xf numFmtId="169" fontId="8" fillId="0" borderId="0" xfId="0" applyNumberFormat="1" applyFont="1" applyBorder="1" applyAlignment="1">
      <alignment horizontal="center" wrapText="1"/>
    </xf>
    <xf numFmtId="2" fontId="8" fillId="0" borderId="0" xfId="0" applyNumberFormat="1" applyFont="1" applyBorder="1"/>
    <xf numFmtId="0" fontId="15" fillId="0" borderId="0" xfId="0" applyFont="1" applyBorder="1"/>
    <xf numFmtId="169" fontId="23" fillId="0" borderId="0" xfId="7" applyNumberFormat="1" applyFont="1" applyFill="1" applyBorder="1" applyAlignment="1">
      <alignment horizontal="center" wrapText="1"/>
    </xf>
    <xf numFmtId="169" fontId="23" fillId="4" borderId="0" xfId="0" applyNumberFormat="1" applyFont="1" applyFill="1" applyBorder="1" applyAlignment="1">
      <alignment horizontal="center" wrapText="1"/>
    </xf>
    <xf numFmtId="4" fontId="36" fillId="2" borderId="0" xfId="0" applyNumberFormat="1" applyFont="1" applyFill="1" applyBorder="1"/>
    <xf numFmtId="2" fontId="36" fillId="2" borderId="0" xfId="0" applyNumberFormat="1" applyFont="1" applyFill="1" applyBorder="1"/>
    <xf numFmtId="0" fontId="8" fillId="2" borderId="0" xfId="0" applyFont="1" applyFill="1" applyBorder="1"/>
    <xf numFmtId="2" fontId="8" fillId="2" borderId="0" xfId="0" applyNumberFormat="1" applyFont="1" applyFill="1" applyBorder="1"/>
    <xf numFmtId="4" fontId="8" fillId="2" borderId="0" xfId="0" applyNumberFormat="1" applyFont="1" applyFill="1" applyBorder="1"/>
    <xf numFmtId="0" fontId="8" fillId="2" borderId="0" xfId="0" applyFont="1" applyFill="1" applyBorder="1" applyAlignment="1">
      <alignment horizontal="left"/>
    </xf>
    <xf numFmtId="2" fontId="8" fillId="2" borderId="0" xfId="2" applyNumberFormat="1" applyFont="1" applyFill="1" applyBorder="1"/>
    <xf numFmtId="0" fontId="2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right" vertical="center" wrapText="1"/>
    </xf>
    <xf numFmtId="2" fontId="0" fillId="0" borderId="0" xfId="0" applyNumberFormat="1" applyFill="1" applyBorder="1"/>
    <xf numFmtId="1" fontId="3" fillId="0" borderId="0" xfId="0" applyNumberFormat="1" applyFont="1" applyFill="1" applyBorder="1" applyAlignment="1">
      <alignment horizontal="right" vertical="center" wrapText="1"/>
    </xf>
    <xf numFmtId="164" fontId="0" fillId="0" borderId="0" xfId="0" applyNumberFormat="1" applyFill="1" applyBorder="1"/>
    <xf numFmtId="4" fontId="3" fillId="0" borderId="0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37" fillId="0" borderId="0" xfId="0" applyFont="1" applyAlignment="1">
      <alignment horizontal="justify" vertical="center"/>
    </xf>
    <xf numFmtId="2" fontId="34" fillId="2" borderId="0" xfId="2" applyNumberFormat="1" applyFont="1" applyFill="1" applyBorder="1" applyAlignment="1">
      <alignment horizontal="right"/>
    </xf>
    <xf numFmtId="2" fontId="0" fillId="0" borderId="0" xfId="0" applyNumberFormat="1" applyFont="1" applyBorder="1" applyAlignment="1">
      <alignment horizontal="right"/>
    </xf>
    <xf numFmtId="2" fontId="25" fillId="2" borderId="0" xfId="0" applyNumberFormat="1" applyFont="1" applyFill="1"/>
    <xf numFmtId="0" fontId="40" fillId="0" borderId="0" xfId="0" applyFont="1" applyBorder="1" applyAlignment="1">
      <alignment horizontal="justify" vertical="center"/>
    </xf>
    <xf numFmtId="0" fontId="9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42" fillId="0" borderId="0" xfId="0" applyFont="1" applyBorder="1" applyAlignment="1">
      <alignment horizontal="justify" vertical="center"/>
    </xf>
    <xf numFmtId="4" fontId="15" fillId="0" borderId="0" xfId="7" applyNumberFormat="1" applyFont="1" applyFill="1" applyBorder="1"/>
    <xf numFmtId="2" fontId="15" fillId="0" borderId="0" xfId="7" applyNumberFormat="1" applyFont="1" applyFill="1" applyBorder="1" applyAlignment="1">
      <alignment horizontal="right"/>
    </xf>
    <xf numFmtId="2" fontId="15" fillId="0" borderId="0" xfId="7" applyNumberFormat="1" applyFont="1" applyFill="1" applyBorder="1"/>
    <xf numFmtId="4" fontId="0" fillId="0" borderId="0" xfId="0" applyNumberFormat="1" applyFont="1" applyFill="1" applyBorder="1"/>
    <xf numFmtId="4" fontId="0" fillId="0" borderId="0" xfId="2" applyNumberFormat="1" applyFont="1" applyFill="1" applyBorder="1" applyAlignment="1">
      <alignment horizontal="right"/>
    </xf>
    <xf numFmtId="4" fontId="10" fillId="0" borderId="0" xfId="0" applyNumberFormat="1" applyFont="1" applyFill="1" applyBorder="1" applyAlignment="1">
      <alignment horizontal="left" vertical="center" wrapText="1"/>
    </xf>
    <xf numFmtId="4" fontId="2" fillId="0" borderId="0" xfId="0" applyNumberFormat="1" applyFont="1" applyFill="1" applyBorder="1"/>
    <xf numFmtId="4" fontId="3" fillId="0" borderId="0" xfId="0" applyNumberFormat="1" applyFont="1" applyFill="1" applyBorder="1"/>
    <xf numFmtId="4" fontId="3" fillId="0" borderId="0" xfId="2" applyNumberFormat="1" applyFont="1" applyFill="1" applyBorder="1" applyAlignment="1">
      <alignment horizontal="right"/>
    </xf>
    <xf numFmtId="4" fontId="0" fillId="0" borderId="0" xfId="0" applyNumberFormat="1" applyFill="1" applyBorder="1"/>
    <xf numFmtId="4" fontId="0" fillId="0" borderId="0" xfId="2" applyNumberFormat="1" applyFont="1" applyFill="1" applyBorder="1"/>
    <xf numFmtId="2" fontId="3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/>
    <xf numFmtId="165" fontId="0" fillId="0" borderId="0" xfId="2" applyNumberFormat="1" applyFont="1" applyFill="1" applyBorder="1"/>
    <xf numFmtId="2" fontId="2" fillId="2" borderId="0" xfId="0" applyNumberFormat="1" applyFont="1" applyFill="1" applyBorder="1" applyAlignment="1">
      <alignment horizontal="center"/>
    </xf>
    <xf numFmtId="4" fontId="25" fillId="2" borderId="0" xfId="0" applyNumberFormat="1" applyFont="1" applyFill="1" applyBorder="1" applyAlignment="1">
      <alignment horizontal="right" readingOrder="2"/>
    </xf>
    <xf numFmtId="0" fontId="24" fillId="4" borderId="0" xfId="7" applyFont="1" applyFill="1" applyBorder="1" applyAlignment="1">
      <alignment horizontal="center" vertical="center"/>
    </xf>
    <xf numFmtId="0" fontId="15" fillId="0" borderId="0" xfId="7" applyFont="1" applyBorder="1"/>
    <xf numFmtId="0" fontId="25" fillId="2" borderId="0" xfId="7" applyFont="1" applyFill="1" applyBorder="1"/>
    <xf numFmtId="0" fontId="2" fillId="2" borderId="0" xfId="7" applyFont="1" applyFill="1" applyBorder="1"/>
    <xf numFmtId="0" fontId="15" fillId="0" borderId="0" xfId="7" applyFont="1" applyBorder="1" applyAlignment="1">
      <alignment horizontal="left"/>
    </xf>
    <xf numFmtId="0" fontId="23" fillId="0" borderId="0" xfId="7" applyFont="1" applyFill="1" applyBorder="1"/>
    <xf numFmtId="0" fontId="24" fillId="4" borderId="0" xfId="0" applyFont="1" applyFill="1" applyBorder="1" applyAlignment="1">
      <alignment horizontal="center" vertical="center" wrapText="1"/>
    </xf>
    <xf numFmtId="0" fontId="24" fillId="4" borderId="0" xfId="0" applyFont="1" applyFill="1" applyBorder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33" fillId="4" borderId="0" xfId="0" applyFont="1" applyFill="1" applyBorder="1" applyAlignment="1">
      <alignment horizontal="center" vertical="center"/>
    </xf>
    <xf numFmtId="0" fontId="24" fillId="4" borderId="0" xfId="0" applyFont="1" applyFill="1" applyAlignment="1">
      <alignment horizontal="center"/>
    </xf>
    <xf numFmtId="0" fontId="23" fillId="4" borderId="0" xfId="0" applyFont="1" applyFill="1" applyBorder="1" applyAlignment="1">
      <alignment horizontal="center"/>
    </xf>
    <xf numFmtId="0" fontId="23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 wrapText="1"/>
    </xf>
    <xf numFmtId="0" fontId="23" fillId="4" borderId="1" xfId="8" applyFont="1" applyFill="1" applyBorder="1" applyAlignment="1">
      <alignment horizontal="center" vertical="center"/>
    </xf>
    <xf numFmtId="0" fontId="23" fillId="4" borderId="0" xfId="8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/>
    </xf>
    <xf numFmtId="2" fontId="24" fillId="4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/>
    </xf>
    <xf numFmtId="0" fontId="36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/>
  </cellXfs>
  <cellStyles count="9">
    <cellStyle name="Millares 2" xfId="5"/>
    <cellStyle name="Normal" xfId="0" builtinId="0"/>
    <cellStyle name="Normal 2" xfId="1"/>
    <cellStyle name="Normal 2 2" xfId="8"/>
    <cellStyle name="Normal 3" xfId="4"/>
    <cellStyle name="Normal 4" xfId="7"/>
    <cellStyle name="Porcentaje" xfId="2" builtinId="5"/>
    <cellStyle name="Porcentaje 2" xfId="3"/>
    <cellStyle name="Porcentaje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0"/>
  <sheetViews>
    <sheetView showGridLines="0" tabSelected="1" zoomScaleNormal="100" workbookViewId="0">
      <selection activeCell="G6" sqref="G6"/>
    </sheetView>
  </sheetViews>
  <sheetFormatPr baseColWidth="10" defaultColWidth="11" defaultRowHeight="15.6" x14ac:dyDescent="0.3"/>
  <cols>
    <col min="1" max="1" width="5.59765625" style="37" customWidth="1"/>
    <col min="2" max="2" width="4.3984375" style="37" customWidth="1"/>
    <col min="3" max="3" width="42.5" style="37" customWidth="1"/>
    <col min="4" max="4" width="9.8984375" style="38" customWidth="1"/>
    <col min="5" max="5" width="9.69921875" style="38" customWidth="1"/>
    <col min="6" max="6" width="9.09765625" style="37" customWidth="1"/>
    <col min="7" max="7" width="8.59765625" style="37" customWidth="1"/>
    <col min="8" max="16384" width="11" style="37"/>
  </cols>
  <sheetData>
    <row r="1" spans="2:9" s="55" customFormat="1" ht="24.9" customHeight="1" x14ac:dyDescent="0.3">
      <c r="D1" s="38"/>
      <c r="E1" s="38"/>
    </row>
    <row r="2" spans="2:9" s="55" customFormat="1" ht="24.9" customHeight="1" x14ac:dyDescent="0.3">
      <c r="B2" s="253" t="s">
        <v>96</v>
      </c>
      <c r="C2" s="253"/>
      <c r="D2" s="253"/>
      <c r="E2" s="253"/>
      <c r="F2" s="253"/>
      <c r="G2" s="253"/>
    </row>
    <row r="3" spans="2:9" s="55" customFormat="1" x14ac:dyDescent="0.3">
      <c r="B3" s="62"/>
      <c r="C3" s="62"/>
      <c r="D3" s="62"/>
      <c r="E3" s="62"/>
      <c r="F3" s="62"/>
      <c r="G3" s="62"/>
    </row>
    <row r="4" spans="2:9" s="55" customFormat="1" x14ac:dyDescent="0.3">
      <c r="B4" s="257" t="s">
        <v>21</v>
      </c>
      <c r="C4" s="257"/>
      <c r="D4" s="62"/>
      <c r="E4" s="62"/>
      <c r="F4" s="62"/>
      <c r="G4" s="62"/>
    </row>
    <row r="5" spans="2:9" s="39" customFormat="1" x14ac:dyDescent="0.3">
      <c r="B5" s="60"/>
      <c r="C5" s="60"/>
      <c r="D5" s="59"/>
      <c r="E5" s="59"/>
      <c r="F5" s="60"/>
      <c r="G5" s="60"/>
    </row>
    <row r="6" spans="2:9" s="39" customFormat="1" ht="37.5" customHeight="1" x14ac:dyDescent="0.3">
      <c r="B6" s="258"/>
      <c r="C6" s="258"/>
      <c r="D6" s="65" t="s">
        <v>7</v>
      </c>
      <c r="E6" s="65" t="s">
        <v>0</v>
      </c>
      <c r="F6" s="65" t="s">
        <v>94</v>
      </c>
      <c r="G6" s="65" t="s">
        <v>95</v>
      </c>
    </row>
    <row r="7" spans="2:9" s="39" customFormat="1" x14ac:dyDescent="0.3">
      <c r="B7" s="60"/>
      <c r="C7" s="60"/>
      <c r="D7" s="61"/>
      <c r="E7" s="61"/>
      <c r="F7" s="61"/>
      <c r="G7" s="62"/>
    </row>
    <row r="8" spans="2:9" x14ac:dyDescent="0.3">
      <c r="B8" s="256" t="s">
        <v>54</v>
      </c>
      <c r="C8" s="256"/>
      <c r="D8" s="68">
        <f>SUM(D9:D11)</f>
        <v>619.58999999999992</v>
      </c>
      <c r="E8" s="68">
        <f>SUM(E9:E11)</f>
        <v>627.21</v>
      </c>
      <c r="F8" s="69">
        <f>((D8-E8)/E8)*100</f>
        <v>-1.2149040991055815</v>
      </c>
      <c r="G8" s="68">
        <f>D8-E8</f>
        <v>-7.6200000000001182</v>
      </c>
    </row>
    <row r="9" spans="2:9" x14ac:dyDescent="0.3">
      <c r="B9" s="254" t="s">
        <v>32</v>
      </c>
      <c r="C9" s="254"/>
      <c r="D9" s="64">
        <v>602.54</v>
      </c>
      <c r="E9" s="64">
        <v>618.27</v>
      </c>
      <c r="F9" s="63">
        <f t="shared" ref="F9:F30" si="0">((D9-E9)/E9)*100</f>
        <v>-2.5441959014669999</v>
      </c>
      <c r="G9" s="66">
        <f t="shared" ref="G9:G30" si="1">D9-E9</f>
        <v>-15.730000000000018</v>
      </c>
    </row>
    <row r="10" spans="2:9" x14ac:dyDescent="0.3">
      <c r="B10" s="254" t="s">
        <v>53</v>
      </c>
      <c r="C10" s="254"/>
      <c r="D10" s="237">
        <v>4.38</v>
      </c>
      <c r="E10" s="237">
        <v>6.37</v>
      </c>
      <c r="F10" s="238">
        <f t="shared" si="0"/>
        <v>-31.240188383045531</v>
      </c>
      <c r="G10" s="239">
        <f t="shared" si="1"/>
        <v>-1.9900000000000002</v>
      </c>
      <c r="I10" s="53"/>
    </row>
    <row r="11" spans="2:9" x14ac:dyDescent="0.3">
      <c r="B11" s="254" t="s">
        <v>52</v>
      </c>
      <c r="C11" s="254"/>
      <c r="D11" s="64">
        <v>12.67</v>
      </c>
      <c r="E11" s="64">
        <v>2.57</v>
      </c>
      <c r="F11" s="63">
        <f t="shared" si="0"/>
        <v>392.99610894941634</v>
      </c>
      <c r="G11" s="66">
        <f t="shared" si="1"/>
        <v>10.1</v>
      </c>
      <c r="I11" s="53"/>
    </row>
    <row r="12" spans="2:9" s="39" customFormat="1" x14ac:dyDescent="0.3">
      <c r="B12" s="254"/>
      <c r="C12" s="254"/>
      <c r="D12" s="64"/>
      <c r="E12" s="64"/>
      <c r="F12" s="63"/>
      <c r="G12" s="59"/>
      <c r="I12" s="53"/>
    </row>
    <row r="13" spans="2:9" x14ac:dyDescent="0.3">
      <c r="B13" s="256" t="s">
        <v>51</v>
      </c>
      <c r="C13" s="256"/>
      <c r="D13" s="68">
        <f>SUM(D14:D17)</f>
        <v>-561.34</v>
      </c>
      <c r="E13" s="68">
        <f>SUM(E14:E17)</f>
        <v>-594.59</v>
      </c>
      <c r="F13" s="69">
        <f t="shared" si="0"/>
        <v>-5.5920886661396922</v>
      </c>
      <c r="G13" s="68">
        <f t="shared" si="1"/>
        <v>33.25</v>
      </c>
      <c r="I13" s="53"/>
    </row>
    <row r="14" spans="2:9" x14ac:dyDescent="0.3">
      <c r="B14" s="254" t="s">
        <v>14</v>
      </c>
      <c r="C14" s="254"/>
      <c r="D14" s="64">
        <v>-270.22000000000003</v>
      </c>
      <c r="E14" s="64">
        <v>-279.41000000000003</v>
      </c>
      <c r="F14" s="63">
        <f t="shared" si="0"/>
        <v>-3.2890734046741339</v>
      </c>
      <c r="G14" s="66">
        <f t="shared" si="1"/>
        <v>9.1899999999999977</v>
      </c>
      <c r="I14" s="53"/>
    </row>
    <row r="15" spans="2:9" x14ac:dyDescent="0.3">
      <c r="B15" s="254" t="s">
        <v>15</v>
      </c>
      <c r="C15" s="254"/>
      <c r="D15" s="64">
        <v>-101.85</v>
      </c>
      <c r="E15" s="64">
        <v>-124.22</v>
      </c>
      <c r="F15" s="63">
        <f t="shared" si="0"/>
        <v>-18.008372242795044</v>
      </c>
      <c r="G15" s="66">
        <f t="shared" si="1"/>
        <v>22.370000000000005</v>
      </c>
      <c r="I15" s="53"/>
    </row>
    <row r="16" spans="2:9" x14ac:dyDescent="0.3">
      <c r="B16" s="254" t="s">
        <v>50</v>
      </c>
      <c r="C16" s="254"/>
      <c r="D16" s="237">
        <v>-107.45</v>
      </c>
      <c r="E16" s="237">
        <f>-235.32+124.22</f>
        <v>-111.1</v>
      </c>
      <c r="F16" s="238">
        <f t="shared" si="0"/>
        <v>-3.2853285328532782</v>
      </c>
      <c r="G16" s="239">
        <f t="shared" si="1"/>
        <v>3.6499999999999915</v>
      </c>
      <c r="I16" s="53"/>
    </row>
    <row r="17" spans="2:9" x14ac:dyDescent="0.3">
      <c r="B17" s="254" t="s">
        <v>49</v>
      </c>
      <c r="C17" s="254"/>
      <c r="D17" s="64">
        <v>-81.819999999999993</v>
      </c>
      <c r="E17" s="64">
        <v>-79.86</v>
      </c>
      <c r="F17" s="63">
        <f t="shared" si="0"/>
        <v>2.4542950162784796</v>
      </c>
      <c r="G17" s="66">
        <f t="shared" si="1"/>
        <v>-1.9599999999999937</v>
      </c>
      <c r="I17" s="53"/>
    </row>
    <row r="18" spans="2:9" s="39" customFormat="1" x14ac:dyDescent="0.3">
      <c r="B18" s="254"/>
      <c r="C18" s="254"/>
      <c r="D18" s="64"/>
      <c r="E18" s="64"/>
      <c r="F18" s="63"/>
      <c r="G18" s="59"/>
      <c r="I18" s="53"/>
    </row>
    <row r="19" spans="2:9" s="39" customFormat="1" x14ac:dyDescent="0.3">
      <c r="B19" s="256" t="s">
        <v>22</v>
      </c>
      <c r="C19" s="256"/>
      <c r="D19" s="68">
        <f>+D8+D13</f>
        <v>58.249999999999886</v>
      </c>
      <c r="E19" s="68">
        <f>+E8+E13</f>
        <v>32.620000000000005</v>
      </c>
      <c r="F19" s="69">
        <f t="shared" si="0"/>
        <v>78.5714285714282</v>
      </c>
      <c r="G19" s="68">
        <f t="shared" si="1"/>
        <v>25.629999999999882</v>
      </c>
      <c r="I19" s="53"/>
    </row>
    <row r="20" spans="2:9" s="39" customFormat="1" x14ac:dyDescent="0.3">
      <c r="B20" s="254" t="s">
        <v>23</v>
      </c>
      <c r="C20" s="254"/>
      <c r="D20" s="64">
        <v>-19.37</v>
      </c>
      <c r="E20" s="64">
        <v>-19.87</v>
      </c>
      <c r="F20" s="63">
        <f t="shared" si="0"/>
        <v>-2.5163563160543534</v>
      </c>
      <c r="G20" s="66">
        <f t="shared" si="1"/>
        <v>0.5</v>
      </c>
      <c r="I20" s="53"/>
    </row>
    <row r="21" spans="2:9" s="39" customFormat="1" x14ac:dyDescent="0.3">
      <c r="B21" s="254" t="s">
        <v>103</v>
      </c>
      <c r="C21" s="254"/>
      <c r="D21" s="67">
        <v>11.99</v>
      </c>
      <c r="E21" s="67">
        <v>0</v>
      </c>
      <c r="F21" s="63" t="s">
        <v>34</v>
      </c>
      <c r="G21" s="66">
        <f t="shared" si="1"/>
        <v>11.99</v>
      </c>
      <c r="I21" s="53"/>
    </row>
    <row r="22" spans="2:9" s="39" customFormat="1" x14ac:dyDescent="0.3">
      <c r="B22" s="254"/>
      <c r="C22" s="254"/>
      <c r="D22" s="64"/>
      <c r="E22" s="64"/>
      <c r="F22" s="63"/>
      <c r="G22" s="59"/>
      <c r="I22" s="53"/>
    </row>
    <row r="23" spans="2:9" x14ac:dyDescent="0.3">
      <c r="B23" s="256" t="s">
        <v>24</v>
      </c>
      <c r="C23" s="256"/>
      <c r="D23" s="68">
        <f>D19+D20+D21</f>
        <v>50.869999999999884</v>
      </c>
      <c r="E23" s="68">
        <f>E19+E20+E21</f>
        <v>12.750000000000004</v>
      </c>
      <c r="F23" s="69">
        <f t="shared" si="0"/>
        <v>298.98039215686168</v>
      </c>
      <c r="G23" s="68">
        <f t="shared" si="1"/>
        <v>38.119999999999877</v>
      </c>
      <c r="I23" s="53"/>
    </row>
    <row r="24" spans="2:9" x14ac:dyDescent="0.3">
      <c r="B24" s="254" t="s">
        <v>48</v>
      </c>
      <c r="C24" s="254"/>
      <c r="D24" s="64">
        <f>-5.8+0.12+0.24</f>
        <v>-5.4399999999999995</v>
      </c>
      <c r="E24" s="64">
        <f>-6-1.65</f>
        <v>-7.65</v>
      </c>
      <c r="F24" s="63">
        <f t="shared" si="0"/>
        <v>-28.888888888888896</v>
      </c>
      <c r="G24" s="66">
        <f t="shared" si="1"/>
        <v>2.2100000000000009</v>
      </c>
      <c r="I24" s="53"/>
    </row>
    <row r="25" spans="2:9" x14ac:dyDescent="0.3">
      <c r="B25" s="254" t="s">
        <v>47</v>
      </c>
      <c r="C25" s="254"/>
      <c r="D25" s="64">
        <v>-0.12</v>
      </c>
      <c r="E25" s="64">
        <v>1.65</v>
      </c>
      <c r="F25" s="63">
        <f t="shared" si="0"/>
        <v>-107.27272727272728</v>
      </c>
      <c r="G25" s="66">
        <f t="shared" si="1"/>
        <v>-1.77</v>
      </c>
      <c r="I25" s="53"/>
    </row>
    <row r="26" spans="2:9" s="39" customFormat="1" x14ac:dyDescent="0.3">
      <c r="B26" s="254"/>
      <c r="C26" s="254"/>
      <c r="D26" s="64"/>
      <c r="E26" s="64"/>
      <c r="F26" s="63"/>
      <c r="G26" s="66"/>
      <c r="I26" s="53"/>
    </row>
    <row r="27" spans="2:9" x14ac:dyDescent="0.3">
      <c r="B27" s="256" t="s">
        <v>26</v>
      </c>
      <c r="C27" s="256"/>
      <c r="D27" s="68">
        <f>+D23+D24+D25</f>
        <v>45.309999999999889</v>
      </c>
      <c r="E27" s="68">
        <f>+E23+E24+E25</f>
        <v>6.7500000000000036</v>
      </c>
      <c r="F27" s="69">
        <f t="shared" si="0"/>
        <v>571.25925925925731</v>
      </c>
      <c r="G27" s="68">
        <f t="shared" si="1"/>
        <v>38.559999999999889</v>
      </c>
      <c r="I27" s="53"/>
    </row>
    <row r="28" spans="2:9" x14ac:dyDescent="0.3">
      <c r="B28" s="254" t="s">
        <v>46</v>
      </c>
      <c r="C28" s="254"/>
      <c r="D28" s="64">
        <v>-0.15</v>
      </c>
      <c r="E28" s="64">
        <v>0.49</v>
      </c>
      <c r="F28" s="63">
        <f t="shared" si="0"/>
        <v>-130.61224489795919</v>
      </c>
      <c r="G28" s="66">
        <f t="shared" si="1"/>
        <v>-0.64</v>
      </c>
      <c r="I28" s="53"/>
    </row>
    <row r="29" spans="2:9" x14ac:dyDescent="0.3">
      <c r="B29" s="254"/>
      <c r="C29" s="254"/>
      <c r="D29" s="64"/>
      <c r="E29" s="64"/>
      <c r="F29" s="63"/>
      <c r="G29" s="66"/>
      <c r="I29" s="53"/>
    </row>
    <row r="30" spans="2:9" ht="17.399999999999999" x14ac:dyDescent="0.3">
      <c r="B30" s="255" t="s">
        <v>28</v>
      </c>
      <c r="C30" s="255"/>
      <c r="D30" s="70">
        <f>D27+D28</f>
        <v>45.15999999999989</v>
      </c>
      <c r="E30" s="70">
        <f>E27+E28</f>
        <v>7.2400000000000038</v>
      </c>
      <c r="F30" s="71">
        <f t="shared" si="0"/>
        <v>523.75690607734623</v>
      </c>
      <c r="G30" s="70">
        <f t="shared" si="1"/>
        <v>37.919999999999888</v>
      </c>
    </row>
  </sheetData>
  <mergeCells count="26">
    <mergeCell ref="B14:C14"/>
    <mergeCell ref="B15:C15"/>
    <mergeCell ref="B16:C16"/>
    <mergeCell ref="B6:C6"/>
    <mergeCell ref="B8:C8"/>
    <mergeCell ref="B12:C12"/>
    <mergeCell ref="B13:C13"/>
    <mergeCell ref="B9:C9"/>
    <mergeCell ref="B10:C10"/>
    <mergeCell ref="B11:C11"/>
    <mergeCell ref="B2:G2"/>
    <mergeCell ref="B20:C20"/>
    <mergeCell ref="B21:C21"/>
    <mergeCell ref="B29:C29"/>
    <mergeCell ref="B30:C30"/>
    <mergeCell ref="B23:C23"/>
    <mergeCell ref="B24:C24"/>
    <mergeCell ref="B25:C25"/>
    <mergeCell ref="B26:C26"/>
    <mergeCell ref="B27:C27"/>
    <mergeCell ref="B28:C28"/>
    <mergeCell ref="B22:C22"/>
    <mergeCell ref="B4:C4"/>
    <mergeCell ref="B18:C18"/>
    <mergeCell ref="B19:C19"/>
    <mergeCell ref="B17:C17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5"/>
  <sheetViews>
    <sheetView showGridLines="0" zoomScale="75" zoomScaleNormal="75" workbookViewId="0">
      <selection activeCell="C25" sqref="C25:Q27"/>
    </sheetView>
  </sheetViews>
  <sheetFormatPr baseColWidth="10" defaultColWidth="11" defaultRowHeight="15.6" x14ac:dyDescent="0.3"/>
  <cols>
    <col min="1" max="1" width="5.59765625" style="14" customWidth="1"/>
    <col min="2" max="2" width="39.19921875" style="14" customWidth="1"/>
    <col min="3" max="5" width="9.59765625" style="14" customWidth="1"/>
    <col min="6" max="6" width="2.09765625" style="14" customWidth="1"/>
    <col min="7" max="9" width="9.59765625" style="14" customWidth="1"/>
    <col min="10" max="10" width="2.09765625" style="14" customWidth="1"/>
    <col min="11" max="13" width="9.59765625" style="14" customWidth="1"/>
    <col min="14" max="14" width="2.09765625" style="14" customWidth="1"/>
    <col min="15" max="17" width="9.59765625" style="14" customWidth="1"/>
    <col min="18" max="16384" width="11" style="14"/>
  </cols>
  <sheetData>
    <row r="1" spans="2:17" ht="24.9" customHeight="1" x14ac:dyDescent="0.3"/>
    <row r="2" spans="2:17" ht="24.9" customHeight="1" x14ac:dyDescent="0.3">
      <c r="B2" s="261" t="s">
        <v>97</v>
      </c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</row>
    <row r="3" spans="2:17" ht="15.75" customHeight="1" x14ac:dyDescent="0.3"/>
    <row r="4" spans="2:17" ht="15.75" customHeight="1" x14ac:dyDescent="0.3">
      <c r="B4" s="14" t="s">
        <v>21</v>
      </c>
    </row>
    <row r="5" spans="2:17" ht="15.75" customHeight="1" x14ac:dyDescent="0.3"/>
    <row r="6" spans="2:17" ht="36" customHeight="1" x14ac:dyDescent="0.3">
      <c r="B6" s="72"/>
      <c r="C6" s="259" t="s">
        <v>98</v>
      </c>
      <c r="D6" s="259"/>
      <c r="E6" s="259"/>
      <c r="F6" s="85"/>
      <c r="G6" s="259" t="s">
        <v>99</v>
      </c>
      <c r="H6" s="259"/>
      <c r="I6" s="259"/>
      <c r="J6" s="85"/>
      <c r="K6" s="259" t="s">
        <v>100</v>
      </c>
      <c r="L6" s="259"/>
      <c r="M6" s="259"/>
      <c r="N6" s="86"/>
      <c r="O6" s="260" t="s">
        <v>101</v>
      </c>
      <c r="P6" s="260"/>
      <c r="Q6" s="260"/>
    </row>
    <row r="7" spans="2:17" s="184" customFormat="1" ht="15.75" customHeight="1" x14ac:dyDescent="0.3">
      <c r="B7" s="185"/>
      <c r="C7" s="186"/>
      <c r="D7" s="186"/>
      <c r="E7" s="186"/>
      <c r="F7" s="187"/>
      <c r="G7" s="186"/>
      <c r="H7" s="186"/>
      <c r="I7" s="186"/>
      <c r="J7" s="187"/>
      <c r="K7" s="186"/>
      <c r="L7" s="186"/>
      <c r="M7" s="186"/>
      <c r="N7" s="188"/>
      <c r="O7" s="145"/>
      <c r="P7" s="145"/>
      <c r="Q7" s="145"/>
    </row>
    <row r="8" spans="2:17" ht="15.75" customHeight="1" x14ac:dyDescent="0.3">
      <c r="B8" s="74"/>
      <c r="C8" s="84" t="s">
        <v>11</v>
      </c>
      <c r="D8" s="84" t="s">
        <v>11</v>
      </c>
      <c r="E8" s="84" t="s">
        <v>35</v>
      </c>
      <c r="F8" s="82"/>
      <c r="G8" s="84" t="s">
        <v>11</v>
      </c>
      <c r="H8" s="84" t="s">
        <v>11</v>
      </c>
      <c r="I8" s="84" t="s">
        <v>35</v>
      </c>
      <c r="J8" s="82"/>
      <c r="K8" s="84" t="s">
        <v>11</v>
      </c>
      <c r="L8" s="84" t="s">
        <v>11</v>
      </c>
      <c r="M8" s="84" t="s">
        <v>35</v>
      </c>
      <c r="N8" s="83"/>
      <c r="O8" s="84" t="s">
        <v>11</v>
      </c>
      <c r="P8" s="84" t="s">
        <v>11</v>
      </c>
      <c r="Q8" s="84" t="s">
        <v>35</v>
      </c>
    </row>
    <row r="9" spans="2:17" ht="15.75" customHeight="1" x14ac:dyDescent="0.3">
      <c r="B9" s="74"/>
      <c r="C9" s="84">
        <v>2016</v>
      </c>
      <c r="D9" s="84">
        <v>2015</v>
      </c>
      <c r="E9" s="84" t="s">
        <v>102</v>
      </c>
      <c r="F9" s="82"/>
      <c r="G9" s="84">
        <v>2016</v>
      </c>
      <c r="H9" s="84">
        <v>2015</v>
      </c>
      <c r="I9" s="84" t="s">
        <v>102</v>
      </c>
      <c r="J9" s="82"/>
      <c r="K9" s="84">
        <v>2016</v>
      </c>
      <c r="L9" s="84">
        <v>2015</v>
      </c>
      <c r="M9" s="84" t="s">
        <v>102</v>
      </c>
      <c r="N9" s="83"/>
      <c r="O9" s="84">
        <v>2016</v>
      </c>
      <c r="P9" s="84">
        <v>2015</v>
      </c>
      <c r="Q9" s="84" t="s">
        <v>102</v>
      </c>
    </row>
    <row r="10" spans="2:17" ht="15.75" customHeight="1" x14ac:dyDescent="0.3">
      <c r="B10" s="75"/>
      <c r="C10" s="77"/>
      <c r="D10" s="77"/>
      <c r="E10" s="75"/>
      <c r="F10" s="75"/>
      <c r="G10" s="75"/>
      <c r="H10" s="75"/>
      <c r="I10" s="75"/>
      <c r="J10" s="75"/>
      <c r="K10" s="75"/>
      <c r="L10" s="75"/>
      <c r="M10" s="75"/>
      <c r="N10" s="76"/>
      <c r="O10" s="76"/>
      <c r="P10" s="76"/>
      <c r="Q10" s="76"/>
    </row>
    <row r="11" spans="2:17" ht="15.75" customHeight="1" x14ac:dyDescent="0.3">
      <c r="B11" s="78" t="s">
        <v>32</v>
      </c>
      <c r="C11" s="79">
        <v>389.09</v>
      </c>
      <c r="D11" s="90">
        <v>385.11</v>
      </c>
      <c r="E11" s="91">
        <f>(C11-D11)/D11*100</f>
        <v>1.0334709563501236</v>
      </c>
      <c r="F11" s="92"/>
      <c r="G11" s="79">
        <v>160.59</v>
      </c>
      <c r="H11" s="90">
        <v>184.33</v>
      </c>
      <c r="I11" s="91">
        <f>(G11-H11)/H11*100</f>
        <v>-12.879075570986821</v>
      </c>
      <c r="J11" s="92"/>
      <c r="K11" s="79">
        <v>52.86</v>
      </c>
      <c r="L11" s="90">
        <v>48.83</v>
      </c>
      <c r="M11" s="91">
        <f>(K11-L11)/L11*100</f>
        <v>8.2531230800737276</v>
      </c>
      <c r="N11" s="80"/>
      <c r="O11" s="80">
        <f>+C11+G11+K11</f>
        <v>602.54</v>
      </c>
      <c r="P11" s="80">
        <v>618.2700000000001</v>
      </c>
      <c r="Q11" s="91">
        <v>-2.5441959014670177</v>
      </c>
    </row>
    <row r="12" spans="2:17" ht="15.75" customHeight="1" x14ac:dyDescent="0.3">
      <c r="B12" s="75"/>
      <c r="C12" s="93"/>
      <c r="D12" s="93"/>
      <c r="E12" s="91"/>
      <c r="F12" s="92"/>
      <c r="G12" s="93"/>
      <c r="H12" s="93"/>
      <c r="I12" s="91"/>
      <c r="J12" s="92"/>
      <c r="K12" s="93"/>
      <c r="L12" s="93"/>
      <c r="M12" s="91"/>
      <c r="N12" s="80"/>
      <c r="O12" s="80"/>
      <c r="P12" s="80"/>
      <c r="Q12" s="91"/>
    </row>
    <row r="13" spans="2:17" s="6" customFormat="1" ht="15.75" customHeight="1" x14ac:dyDescent="0.3">
      <c r="B13" s="87" t="s">
        <v>22</v>
      </c>
      <c r="C13" s="94">
        <v>33.35</v>
      </c>
      <c r="D13" s="94">
        <v>13.69</v>
      </c>
      <c r="E13" s="94">
        <f>(C13-D13)/D13*100</f>
        <v>143.60847333820311</v>
      </c>
      <c r="F13" s="95"/>
      <c r="G13" s="96">
        <v>16</v>
      </c>
      <c r="H13" s="94">
        <v>11.84</v>
      </c>
      <c r="I13" s="97">
        <f>(G13-H13)/H13*100</f>
        <v>35.135135135135137</v>
      </c>
      <c r="J13" s="95"/>
      <c r="K13" s="96">
        <v>8.9</v>
      </c>
      <c r="L13" s="94">
        <v>7.09</v>
      </c>
      <c r="M13" s="97">
        <f>(K13-L13)/L13*100</f>
        <v>25.528913963328641</v>
      </c>
      <c r="N13" s="17"/>
      <c r="O13" s="17">
        <f>+C13+G13+K13</f>
        <v>58.25</v>
      </c>
      <c r="P13" s="17">
        <v>32.620000000000005</v>
      </c>
      <c r="Q13" s="97">
        <f>(O13-P13)/P13*100</f>
        <v>78.571428571428541</v>
      </c>
    </row>
    <row r="14" spans="2:17" ht="15.75" customHeight="1" x14ac:dyDescent="0.3">
      <c r="B14" s="78" t="s">
        <v>23</v>
      </c>
      <c r="C14" s="90">
        <v>-12.52</v>
      </c>
      <c r="D14" s="90">
        <v>-13.3</v>
      </c>
      <c r="E14" s="91">
        <f>(C14-D14)/D14*100</f>
        <v>-5.8646616541353467</v>
      </c>
      <c r="F14" s="92"/>
      <c r="G14" s="90">
        <v>-4.29</v>
      </c>
      <c r="H14" s="90">
        <v>-4.03</v>
      </c>
      <c r="I14" s="91">
        <f>(G14-H14)/H14*100</f>
        <v>6.4516129032258007</v>
      </c>
      <c r="J14" s="92"/>
      <c r="K14" s="90">
        <v>-2.56</v>
      </c>
      <c r="L14" s="90">
        <v>-2.54</v>
      </c>
      <c r="M14" s="91">
        <f>(K14-L14)/L14*100</f>
        <v>0.78740157480315032</v>
      </c>
      <c r="N14" s="80"/>
      <c r="O14" s="80">
        <v>-19.369999999999997</v>
      </c>
      <c r="P14" s="80">
        <v>-19.87</v>
      </c>
      <c r="Q14" s="91">
        <f>(O14-P14)/P14*100</f>
        <v>-2.5163563160543712</v>
      </c>
    </row>
    <row r="15" spans="2:17" ht="15.75" customHeight="1" x14ac:dyDescent="0.3">
      <c r="B15" s="78" t="s">
        <v>103</v>
      </c>
      <c r="C15" s="90">
        <v>11.99</v>
      </c>
      <c r="D15" s="90">
        <v>0</v>
      </c>
      <c r="E15" s="91" t="s">
        <v>34</v>
      </c>
      <c r="F15" s="92" t="s">
        <v>13</v>
      </c>
      <c r="G15" s="90">
        <v>0</v>
      </c>
      <c r="H15" s="90">
        <v>0</v>
      </c>
      <c r="I15" s="91" t="s">
        <v>34</v>
      </c>
      <c r="J15" s="92" t="s">
        <v>13</v>
      </c>
      <c r="K15" s="90">
        <v>0</v>
      </c>
      <c r="L15" s="90">
        <v>0</v>
      </c>
      <c r="M15" s="91" t="s">
        <v>34</v>
      </c>
      <c r="N15" s="80"/>
      <c r="O15" s="80">
        <v>11.99</v>
      </c>
      <c r="P15" s="79">
        <v>0</v>
      </c>
      <c r="Q15" s="91" t="s">
        <v>34</v>
      </c>
    </row>
    <row r="16" spans="2:17" ht="15.75" customHeight="1" x14ac:dyDescent="0.3">
      <c r="B16" s="75"/>
      <c r="C16" s="93"/>
      <c r="D16" s="93"/>
      <c r="E16" s="91"/>
      <c r="F16" s="92"/>
      <c r="G16" s="93"/>
      <c r="H16" s="93"/>
      <c r="I16" s="91"/>
      <c r="J16" s="92"/>
      <c r="K16" s="93"/>
      <c r="L16" s="93"/>
      <c r="M16" s="91"/>
      <c r="N16" s="80"/>
      <c r="O16" s="80"/>
      <c r="P16" s="80"/>
      <c r="Q16" s="91"/>
    </row>
    <row r="17" spans="2:20" s="6" customFormat="1" ht="15.75" customHeight="1" x14ac:dyDescent="0.3">
      <c r="B17" s="87" t="s">
        <v>24</v>
      </c>
      <c r="C17" s="94">
        <f>SUM(C13:C16)</f>
        <v>32.82</v>
      </c>
      <c r="D17" s="94">
        <v>0.39</v>
      </c>
      <c r="E17" s="94">
        <f>(C17-D17)/D17*100</f>
        <v>8315.3846153846152</v>
      </c>
      <c r="F17" s="95"/>
      <c r="G17" s="94">
        <f>SUM(G13:G16)</f>
        <v>11.71</v>
      </c>
      <c r="H17" s="94">
        <v>7.81</v>
      </c>
      <c r="I17" s="97">
        <f>(G17-H17)/H17*100</f>
        <v>49.935979513444323</v>
      </c>
      <c r="J17" s="95"/>
      <c r="K17" s="94">
        <f>SUM(K13:K16)</f>
        <v>6.34</v>
      </c>
      <c r="L17" s="94">
        <v>4.55</v>
      </c>
      <c r="M17" s="97">
        <f>(K17-L17)/L17*100</f>
        <v>39.340659340659343</v>
      </c>
      <c r="N17" s="17"/>
      <c r="O17" s="17">
        <f>+C17+G17+K17</f>
        <v>50.870000000000005</v>
      </c>
      <c r="P17" s="17">
        <v>12.75</v>
      </c>
      <c r="Q17" s="97">
        <f>(O17-P17)/P17*100</f>
        <v>298.98039215686276</v>
      </c>
      <c r="T17" s="11"/>
    </row>
    <row r="18" spans="2:20" ht="15.75" customHeight="1" x14ac:dyDescent="0.3">
      <c r="B18" s="78" t="s">
        <v>25</v>
      </c>
      <c r="C18" s="90">
        <v>-3.38</v>
      </c>
      <c r="D18" s="90">
        <v>-4.6599999999999993</v>
      </c>
      <c r="E18" s="91">
        <f>(C18-D18)/D18*100</f>
        <v>-27.467811158798273</v>
      </c>
      <c r="F18" s="92"/>
      <c r="G18" s="90">
        <v>-1.6400000000000001</v>
      </c>
      <c r="H18" s="90">
        <v>-1.06</v>
      </c>
      <c r="I18" s="91">
        <f>(G18-H18)/H18*100</f>
        <v>54.716981132075468</v>
      </c>
      <c r="J18" s="92"/>
      <c r="K18" s="90">
        <v>-0.54</v>
      </c>
      <c r="L18" s="90">
        <v>-0.27999999999999997</v>
      </c>
      <c r="M18" s="91">
        <f>(K18-L18)/L18*100</f>
        <v>92.85714285714289</v>
      </c>
      <c r="N18" s="80"/>
      <c r="O18" s="240">
        <v>-5.56</v>
      </c>
      <c r="P18" s="240">
        <v>-5.9999999999999991</v>
      </c>
      <c r="Q18" s="241">
        <f>(O18-P18)/P18*100</f>
        <v>-7.3333333333333268</v>
      </c>
    </row>
    <row r="19" spans="2:20" ht="15.75" customHeight="1" x14ac:dyDescent="0.3">
      <c r="B19" s="75"/>
      <c r="C19" s="93"/>
      <c r="D19" s="93"/>
      <c r="E19" s="91"/>
      <c r="F19" s="92"/>
      <c r="G19" s="93"/>
      <c r="H19" s="93"/>
      <c r="I19" s="91"/>
      <c r="J19" s="92"/>
      <c r="K19" s="93"/>
      <c r="L19" s="93"/>
      <c r="M19" s="91"/>
      <c r="N19" s="80"/>
      <c r="O19" s="80"/>
      <c r="P19" s="80"/>
      <c r="Q19" s="91"/>
    </row>
    <row r="20" spans="2:20" ht="15.75" customHeight="1" x14ac:dyDescent="0.3">
      <c r="B20" s="87" t="s">
        <v>26</v>
      </c>
      <c r="C20" s="94">
        <f>SUM(C17:C18)</f>
        <v>29.44</v>
      </c>
      <c r="D20" s="94">
        <v>-4.2699999999999996</v>
      </c>
      <c r="E20" s="97" t="s">
        <v>34</v>
      </c>
      <c r="F20" s="95"/>
      <c r="G20" s="94">
        <f>SUM(G17:G18)</f>
        <v>10.07</v>
      </c>
      <c r="H20" s="94">
        <v>6.75</v>
      </c>
      <c r="I20" s="97">
        <f>(G20-H20)/H20*100</f>
        <v>49.18518518518519</v>
      </c>
      <c r="J20" s="95"/>
      <c r="K20" s="94">
        <f>SUM(K17:K18)</f>
        <v>5.8</v>
      </c>
      <c r="L20" s="94">
        <v>4.2699999999999996</v>
      </c>
      <c r="M20" s="97">
        <f>(K20-L20)/L20*100</f>
        <v>35.83138173302109</v>
      </c>
      <c r="N20" s="98"/>
      <c r="O20" s="17">
        <f>+C20+G20+K20</f>
        <v>45.31</v>
      </c>
      <c r="P20" s="17">
        <v>6.75</v>
      </c>
      <c r="Q20" s="97">
        <f>(O20-P20)/P20*100</f>
        <v>571.25925925925924</v>
      </c>
    </row>
    <row r="21" spans="2:20" ht="15.75" customHeight="1" x14ac:dyDescent="0.3">
      <c r="B21" s="78" t="s">
        <v>27</v>
      </c>
      <c r="C21" s="90">
        <v>-0.14000000000000001</v>
      </c>
      <c r="D21" s="90">
        <v>0.27</v>
      </c>
      <c r="E21" s="91" t="s">
        <v>34</v>
      </c>
      <c r="F21" s="92"/>
      <c r="G21" s="90">
        <v>-0.01</v>
      </c>
      <c r="H21" s="90">
        <v>0.17</v>
      </c>
      <c r="I21" s="91">
        <f>(G21-H21)/H21*100</f>
        <v>-105.88235294117648</v>
      </c>
      <c r="J21" s="92"/>
      <c r="K21" s="90">
        <v>0</v>
      </c>
      <c r="L21" s="90">
        <v>0.05</v>
      </c>
      <c r="M21" s="91" t="s">
        <v>34</v>
      </c>
      <c r="N21" s="80"/>
      <c r="O21" s="80">
        <v>-0.15</v>
      </c>
      <c r="P21" s="80">
        <v>0.49000000000000005</v>
      </c>
      <c r="Q21" s="91">
        <f>(O21-P21)/P21*100</f>
        <v>-130.61224489795919</v>
      </c>
    </row>
    <row r="22" spans="2:20" ht="15.75" customHeight="1" x14ac:dyDescent="0.3">
      <c r="B22" s="75"/>
      <c r="C22" s="93"/>
      <c r="D22" s="93"/>
      <c r="E22" s="91"/>
      <c r="F22" s="92"/>
      <c r="G22" s="93"/>
      <c r="H22" s="93"/>
      <c r="I22" s="91"/>
      <c r="J22" s="92"/>
      <c r="K22" s="93"/>
      <c r="L22" s="93"/>
      <c r="M22" s="91"/>
      <c r="N22" s="80"/>
      <c r="O22" s="80"/>
      <c r="P22" s="80"/>
      <c r="Q22" s="91"/>
    </row>
    <row r="23" spans="2:20" ht="15.75" customHeight="1" x14ac:dyDescent="0.35">
      <c r="B23" s="88" t="s">
        <v>28</v>
      </c>
      <c r="C23" s="99">
        <f>SUM(C20:C21)</f>
        <v>29.3</v>
      </c>
      <c r="D23" s="99">
        <v>-4</v>
      </c>
      <c r="E23" s="100" t="s">
        <v>34</v>
      </c>
      <c r="F23" s="101"/>
      <c r="G23" s="99">
        <f>SUM(G20:G21)</f>
        <v>10.06</v>
      </c>
      <c r="H23" s="99">
        <v>6.92</v>
      </c>
      <c r="I23" s="100">
        <f>(G23-H23)/H23*100</f>
        <v>45.375722543352609</v>
      </c>
      <c r="J23" s="101"/>
      <c r="K23" s="99">
        <f>SUM(K20:K21)</f>
        <v>5.8</v>
      </c>
      <c r="L23" s="99">
        <v>4.32</v>
      </c>
      <c r="M23" s="100">
        <f>(K23-L23)/L23*100</f>
        <v>34.259259259259245</v>
      </c>
      <c r="N23" s="102"/>
      <c r="O23" s="89">
        <f>+C23+G23+K23</f>
        <v>45.16</v>
      </c>
      <c r="P23" s="89">
        <v>7.24</v>
      </c>
      <c r="Q23" s="97">
        <f>(O23-P23)/P23*100</f>
        <v>523.75690607734805</v>
      </c>
    </row>
    <row r="24" spans="2:20" ht="15.75" customHeight="1" x14ac:dyDescent="0.3">
      <c r="B24" s="75"/>
      <c r="C24" s="93"/>
      <c r="D24" s="93"/>
      <c r="E24" s="91"/>
      <c r="F24" s="92"/>
      <c r="G24" s="93"/>
      <c r="H24" s="93"/>
      <c r="I24" s="91"/>
      <c r="J24" s="92"/>
      <c r="K24" s="93"/>
      <c r="L24" s="93"/>
      <c r="M24" s="91"/>
      <c r="N24" s="80"/>
      <c r="O24" s="80"/>
      <c r="P24" s="80"/>
      <c r="Q24" s="91"/>
    </row>
    <row r="25" spans="2:20" ht="15.75" customHeight="1" x14ac:dyDescent="0.3">
      <c r="B25" s="78" t="s">
        <v>29</v>
      </c>
      <c r="C25" s="103">
        <v>301.06</v>
      </c>
      <c r="D25" s="103">
        <v>284.26</v>
      </c>
      <c r="E25" s="241">
        <f>(C25-D25)/D25*100</f>
        <v>5.9100823190037328</v>
      </c>
      <c r="F25" s="104"/>
      <c r="G25" s="103">
        <v>209.43</v>
      </c>
      <c r="H25" s="103">
        <v>179.4</v>
      </c>
      <c r="I25" s="241">
        <f>(G25-H25)/H25*100</f>
        <v>16.739130434782609</v>
      </c>
      <c r="J25" s="104"/>
      <c r="K25" s="103">
        <v>49.69</v>
      </c>
      <c r="L25" s="103">
        <v>48.02</v>
      </c>
      <c r="M25" s="241">
        <f>(K25-L25)/L25*100</f>
        <v>3.4777176176592968</v>
      </c>
      <c r="N25" s="240"/>
      <c r="O25" s="240">
        <v>560.17999999999995</v>
      </c>
      <c r="P25" s="240">
        <v>511.67999999999995</v>
      </c>
      <c r="Q25" s="241">
        <f>(O25-P25)/P25*100</f>
        <v>9.4785803627267047</v>
      </c>
    </row>
    <row r="26" spans="2:20" ht="15.75" customHeight="1" x14ac:dyDescent="0.3">
      <c r="B26" s="78" t="s">
        <v>30</v>
      </c>
      <c r="C26" s="103">
        <v>216.2</v>
      </c>
      <c r="D26" s="103">
        <v>228.15</v>
      </c>
      <c r="E26" s="241">
        <f>(C26-D26)/D26*100</f>
        <v>-5.2377821608590915</v>
      </c>
      <c r="F26" s="104"/>
      <c r="G26" s="103">
        <v>87.99</v>
      </c>
      <c r="H26" s="103">
        <v>74.069999999999993</v>
      </c>
      <c r="I26" s="241">
        <f>(G26-H26)/H26*100</f>
        <v>18.79303361684893</v>
      </c>
      <c r="J26" s="104"/>
      <c r="K26" s="103">
        <v>36.159999999999997</v>
      </c>
      <c r="L26" s="103">
        <v>33.58</v>
      </c>
      <c r="M26" s="241">
        <f t="shared" ref="M26:M27" si="0">(K26-L26)/L26*100</f>
        <v>7.6831447290053561</v>
      </c>
      <c r="N26" s="240"/>
      <c r="O26" s="240">
        <v>340.35</v>
      </c>
      <c r="P26" s="240">
        <v>335.8</v>
      </c>
      <c r="Q26" s="241">
        <f t="shared" ref="Q26:Q27" si="1">(O26-P26)/P26*100</f>
        <v>1.3549731983323441</v>
      </c>
    </row>
    <row r="27" spans="2:20" ht="15.75" customHeight="1" x14ac:dyDescent="0.3">
      <c r="B27" s="78" t="s">
        <v>31</v>
      </c>
      <c r="C27" s="103">
        <v>14.01</v>
      </c>
      <c r="D27" s="103">
        <v>3.13</v>
      </c>
      <c r="E27" s="241">
        <f>(C27-D27)/D27*100</f>
        <v>347.60383386581469</v>
      </c>
      <c r="F27" s="242"/>
      <c r="G27" s="103">
        <v>3.71</v>
      </c>
      <c r="H27" s="103">
        <v>4.46</v>
      </c>
      <c r="I27" s="241">
        <f>(G27-H27)/H27*100</f>
        <v>-16.816143497757849</v>
      </c>
      <c r="J27" s="242"/>
      <c r="K27" s="103">
        <v>3.31</v>
      </c>
      <c r="L27" s="103">
        <v>2.76</v>
      </c>
      <c r="M27" s="241">
        <f t="shared" si="0"/>
        <v>19.927536231884069</v>
      </c>
      <c r="N27" s="243"/>
      <c r="O27" s="244">
        <v>21.03</v>
      </c>
      <c r="P27" s="244">
        <v>10.35</v>
      </c>
      <c r="Q27" s="245">
        <f t="shared" si="1"/>
        <v>103.18840579710147</v>
      </c>
    </row>
    <row r="28" spans="2:20" x14ac:dyDescent="0.3"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30" spans="2:20" s="6" customFormat="1" ht="15.75" customHeight="1" x14ac:dyDescent="0.3">
      <c r="B30" s="88" t="s">
        <v>131</v>
      </c>
      <c r="C30" s="232">
        <f>(C13/C11)*100</f>
        <v>8.5712817086021236</v>
      </c>
      <c r="D30" s="232">
        <f t="shared" ref="D30:P30" si="2">(D13/D11)*100</f>
        <v>3.5548284905611385</v>
      </c>
      <c r="E30" s="100">
        <f>(C30-D30)/D30*100</f>
        <v>141.11660327244437</v>
      </c>
      <c r="F30" s="232"/>
      <c r="G30" s="232">
        <f t="shared" si="2"/>
        <v>9.9632604769910955</v>
      </c>
      <c r="H30" s="232">
        <f t="shared" si="2"/>
        <v>6.4232626268106108</v>
      </c>
      <c r="I30" s="100">
        <f>(G30-H30)/H30*100</f>
        <v>55.112145584777771</v>
      </c>
      <c r="J30" s="232"/>
      <c r="K30" s="232">
        <f t="shared" si="2"/>
        <v>16.836927733636021</v>
      </c>
      <c r="L30" s="232">
        <f t="shared" si="2"/>
        <v>14.519762441122261</v>
      </c>
      <c r="M30" s="100">
        <f>(K30-L30)/L30*100</f>
        <v>15.958699750838774</v>
      </c>
      <c r="N30" s="232"/>
      <c r="O30" s="232">
        <f t="shared" si="2"/>
        <v>9.6674079729146616</v>
      </c>
      <c r="P30" s="232">
        <f t="shared" si="2"/>
        <v>5.2760120982742169</v>
      </c>
      <c r="Q30" s="100">
        <f>(O30-P30)/P30*100</f>
        <v>83.233241183750692</v>
      </c>
    </row>
    <row r="31" spans="2:20" x14ac:dyDescent="0.3">
      <c r="H31" s="54"/>
    </row>
    <row r="34" spans="3:4" x14ac:dyDescent="0.3">
      <c r="C34" s="32"/>
      <c r="D34" s="32"/>
    </row>
    <row r="35" spans="3:4" x14ac:dyDescent="0.3">
      <c r="C35" s="14">
        <f>C27/D27</f>
        <v>4.4760383386581468</v>
      </c>
    </row>
  </sheetData>
  <mergeCells count="5">
    <mergeCell ref="C6:E6"/>
    <mergeCell ref="G6:I6"/>
    <mergeCell ref="K6:M6"/>
    <mergeCell ref="O6:Q6"/>
    <mergeCell ref="B2:Q2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9"/>
  <sheetViews>
    <sheetView showGridLines="0" zoomScaleNormal="100" zoomScaleSheetLayoutView="110" workbookViewId="0">
      <selection activeCell="F22" sqref="F22"/>
    </sheetView>
  </sheetViews>
  <sheetFormatPr baseColWidth="10" defaultRowHeight="15.6" x14ac:dyDescent="0.3"/>
  <cols>
    <col min="1" max="1" width="5.59765625" customWidth="1"/>
    <col min="2" max="2" width="20.09765625" customWidth="1"/>
    <col min="3" max="5" width="9.59765625" customWidth="1"/>
    <col min="6" max="6" width="9.3984375" customWidth="1"/>
    <col min="7" max="7" width="2.09765625" style="22" customWidth="1"/>
    <col min="8" max="11" width="9.59765625" customWidth="1"/>
    <col min="12" max="12" width="2.09765625" customWidth="1"/>
    <col min="13" max="16" width="9.59765625" customWidth="1"/>
    <col min="17" max="17" width="2.09765625" customWidth="1"/>
    <col min="18" max="21" width="9.59765625" customWidth="1"/>
    <col min="22" max="22" width="9.09765625" customWidth="1"/>
    <col min="23" max="23" width="8.8984375" customWidth="1"/>
    <col min="24" max="24" width="8.09765625" customWidth="1"/>
    <col min="25" max="25" width="9.5" customWidth="1"/>
    <col min="26" max="26" width="7.8984375" customWidth="1"/>
    <col min="27" max="28" width="8.19921875" customWidth="1"/>
    <col min="29" max="29" width="6.5" customWidth="1"/>
  </cols>
  <sheetData>
    <row r="1" spans="2:24" ht="24.9" customHeight="1" x14ac:dyDescent="0.3"/>
    <row r="2" spans="2:24" ht="17.399999999999999" x14ac:dyDescent="0.3">
      <c r="B2" s="263" t="s">
        <v>108</v>
      </c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</row>
    <row r="4" spans="2:24" x14ac:dyDescent="0.3">
      <c r="B4" t="s">
        <v>21</v>
      </c>
    </row>
    <row r="6" spans="2:24" s="117" customFormat="1" ht="24.9" customHeight="1" x14ac:dyDescent="0.3">
      <c r="B6" s="115"/>
      <c r="C6" s="262" t="s">
        <v>33</v>
      </c>
      <c r="D6" s="262"/>
      <c r="E6" s="262"/>
      <c r="F6" s="262"/>
      <c r="G6" s="116"/>
      <c r="H6" s="262" t="s">
        <v>19</v>
      </c>
      <c r="I6" s="262"/>
      <c r="J6" s="262"/>
      <c r="K6" s="262"/>
      <c r="L6" s="116"/>
      <c r="M6" s="262" t="s">
        <v>20</v>
      </c>
      <c r="N6" s="262"/>
      <c r="O6" s="262"/>
      <c r="P6" s="262"/>
      <c r="Q6" s="116"/>
      <c r="R6" s="262" t="s">
        <v>101</v>
      </c>
      <c r="S6" s="262"/>
      <c r="T6" s="262"/>
      <c r="U6" s="262"/>
      <c r="V6" s="115"/>
      <c r="W6" s="115"/>
      <c r="X6" s="115"/>
    </row>
    <row r="7" spans="2:24" s="144" customFormat="1" ht="15.75" customHeight="1" x14ac:dyDescent="0.3">
      <c r="C7" s="182"/>
      <c r="D7" s="182"/>
      <c r="E7" s="182"/>
      <c r="F7" s="182"/>
      <c r="G7" s="183"/>
      <c r="H7" s="182"/>
      <c r="I7" s="182"/>
      <c r="J7" s="182"/>
      <c r="K7" s="182"/>
      <c r="L7" s="183"/>
      <c r="M7" s="182"/>
      <c r="N7" s="182"/>
      <c r="O7" s="182"/>
      <c r="P7" s="182"/>
      <c r="Q7" s="183"/>
      <c r="R7" s="182"/>
      <c r="S7" s="182"/>
      <c r="T7" s="182"/>
      <c r="U7" s="182"/>
    </row>
    <row r="8" spans="2:24" ht="31.2" x14ac:dyDescent="0.3">
      <c r="B8" s="22"/>
      <c r="C8" s="118" t="s">
        <v>91</v>
      </c>
      <c r="D8" s="118" t="s">
        <v>104</v>
      </c>
      <c r="E8" s="118" t="s">
        <v>90</v>
      </c>
      <c r="F8" s="118" t="s">
        <v>94</v>
      </c>
      <c r="G8" s="26"/>
      <c r="H8" s="118" t="s">
        <v>91</v>
      </c>
      <c r="I8" s="118" t="s">
        <v>104</v>
      </c>
      <c r="J8" s="118" t="s">
        <v>90</v>
      </c>
      <c r="K8" s="118" t="s">
        <v>94</v>
      </c>
      <c r="L8" s="56"/>
      <c r="M8" s="118" t="s">
        <v>91</v>
      </c>
      <c r="N8" s="118" t="s">
        <v>104</v>
      </c>
      <c r="O8" s="118" t="s">
        <v>90</v>
      </c>
      <c r="P8" s="118" t="s">
        <v>94</v>
      </c>
      <c r="Q8" s="56"/>
      <c r="R8" s="118" t="s">
        <v>91</v>
      </c>
      <c r="S8" s="118" t="s">
        <v>104</v>
      </c>
      <c r="T8" s="118" t="s">
        <v>90</v>
      </c>
      <c r="U8" s="118" t="s">
        <v>94</v>
      </c>
      <c r="V8" s="22"/>
      <c r="W8" s="22"/>
      <c r="X8" s="22"/>
    </row>
    <row r="9" spans="2:24" x14ac:dyDescent="0.3">
      <c r="B9" s="22"/>
      <c r="C9" s="26"/>
      <c r="D9" s="26"/>
      <c r="E9" s="26"/>
      <c r="F9" s="26"/>
      <c r="G9" s="2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13"/>
      <c r="V9" s="22"/>
      <c r="W9" s="22"/>
      <c r="X9" s="22"/>
    </row>
    <row r="10" spans="2:24" x14ac:dyDescent="0.3">
      <c r="B10" s="16" t="s">
        <v>105</v>
      </c>
      <c r="C10" s="17">
        <v>248.6</v>
      </c>
      <c r="D10" s="19">
        <f>(C10/$C$17)*100</f>
        <v>63.892672646431414</v>
      </c>
      <c r="E10" s="123">
        <v>248.15</v>
      </c>
      <c r="F10" s="19">
        <f>((C10-E10)/E10)*100</f>
        <v>0.18134193028409776</v>
      </c>
      <c r="G10" s="119"/>
      <c r="H10" s="21">
        <v>54.03</v>
      </c>
      <c r="I10" s="19">
        <f>(H10/$H$17)*100</f>
        <v>33.644685223239307</v>
      </c>
      <c r="J10" s="123">
        <v>65.010000000000005</v>
      </c>
      <c r="K10" s="19">
        <f>((H10-J10)/J10)*100</f>
        <v>-16.889709275496081</v>
      </c>
      <c r="L10" s="120"/>
      <c r="M10" s="21">
        <v>5.0599999999999996</v>
      </c>
      <c r="N10" s="19">
        <f>(M10/$M$17)*100</f>
        <v>9.5724555429436222</v>
      </c>
      <c r="O10" s="96">
        <v>4.54</v>
      </c>
      <c r="P10" s="19">
        <f>((M10-O10)/O10)*100</f>
        <v>11.453744493392062</v>
      </c>
      <c r="Q10" s="120"/>
      <c r="R10" s="17">
        <v>307.69</v>
      </c>
      <c r="S10" s="251">
        <f>(R10/$R$17)*100</f>
        <v>51.065489428087766</v>
      </c>
      <c r="T10" s="121">
        <v>317.7</v>
      </c>
      <c r="U10" s="21">
        <f>(R10-T10)/T10*100</f>
        <v>-3.1507711677683319</v>
      </c>
      <c r="V10" s="22"/>
      <c r="W10" s="22"/>
      <c r="X10" s="22"/>
    </row>
    <row r="11" spans="2:24" x14ac:dyDescent="0.3">
      <c r="B11" s="22"/>
      <c r="C11" s="106"/>
      <c r="D11" s="108"/>
      <c r="E11" s="109"/>
      <c r="F11" s="108"/>
      <c r="G11" s="26"/>
      <c r="H11" s="23"/>
      <c r="I11" s="108"/>
      <c r="J11" s="109"/>
      <c r="K11" s="108"/>
      <c r="L11" s="56"/>
      <c r="M11" s="23"/>
      <c r="N11" s="108"/>
      <c r="O11" s="15"/>
      <c r="P11" s="108"/>
      <c r="Q11" s="56"/>
      <c r="R11" s="106"/>
      <c r="S11" s="12"/>
      <c r="T11" s="111"/>
      <c r="U11" s="20"/>
      <c r="V11" s="22"/>
      <c r="W11" s="22"/>
      <c r="X11" s="22"/>
    </row>
    <row r="12" spans="2:24" x14ac:dyDescent="0.3">
      <c r="B12" s="16" t="s">
        <v>16</v>
      </c>
      <c r="C12" s="17">
        <f>SUM(C13:C15)</f>
        <v>140.49</v>
      </c>
      <c r="D12" s="19">
        <f>(C12/$C$17)*100</f>
        <v>36.107327353568579</v>
      </c>
      <c r="E12" s="17">
        <f>SUM(E13:E15)</f>
        <v>136.96</v>
      </c>
      <c r="F12" s="19">
        <f t="shared" ref="F12:F17" si="0">((C12-E12)/E12)*100</f>
        <v>2.5773948598130847</v>
      </c>
      <c r="G12" s="119"/>
      <c r="H12" s="17">
        <f>SUM(H13:H15)</f>
        <v>106.56</v>
      </c>
      <c r="I12" s="19">
        <f>(H12/$H$17)*100</f>
        <v>66.355314776760693</v>
      </c>
      <c r="J12" s="17">
        <f>SUM(J13:J15)</f>
        <v>119.32</v>
      </c>
      <c r="K12" s="19">
        <f t="shared" ref="K12:K17" si="1">((H12-J12)/J12)*100</f>
        <v>-10.693932282936634</v>
      </c>
      <c r="L12" s="120"/>
      <c r="M12" s="17">
        <f>SUM(M13:M15)</f>
        <v>47.800000000000004</v>
      </c>
      <c r="N12" s="19">
        <f t="shared" ref="N12:N17" si="2">(M12/$M$17)*100</f>
        <v>90.427544457056371</v>
      </c>
      <c r="O12" s="17">
        <f>SUM(O13:O15)</f>
        <v>44.29</v>
      </c>
      <c r="P12" s="19">
        <f>((M12-O12)/O12)*100</f>
        <v>7.9250395123052719</v>
      </c>
      <c r="Q12" s="120"/>
      <c r="R12" s="17">
        <f>C12+H12+M12</f>
        <v>294.85000000000002</v>
      </c>
      <c r="S12" s="251">
        <f>(R12/$R$17)*100</f>
        <v>48.934510571912242</v>
      </c>
      <c r="T12" s="124">
        <f>+E12+J12+O12</f>
        <v>300.57</v>
      </c>
      <c r="U12" s="21">
        <f t="shared" ref="U12:U17" si="3">(R12-T12)/T12*100</f>
        <v>-1.9030508700136308</v>
      </c>
      <c r="V12" s="22"/>
      <c r="W12" s="22"/>
      <c r="X12" s="22"/>
    </row>
    <row r="13" spans="2:24" x14ac:dyDescent="0.3">
      <c r="B13" s="22" t="s">
        <v>106</v>
      </c>
      <c r="C13" s="106">
        <v>105.99</v>
      </c>
      <c r="D13" s="108">
        <f>(C13/$C$17)*100</f>
        <v>27.240484206738795</v>
      </c>
      <c r="E13" s="109">
        <v>105.24</v>
      </c>
      <c r="F13" s="247">
        <f t="shared" si="0"/>
        <v>0.7126567844925884</v>
      </c>
      <c r="G13" s="250"/>
      <c r="H13" s="221">
        <v>47.24</v>
      </c>
      <c r="I13" s="247">
        <f>(H13/$H$17)*100</f>
        <v>29.416526558316207</v>
      </c>
      <c r="J13" s="109">
        <v>47.62</v>
      </c>
      <c r="K13" s="247">
        <f t="shared" si="1"/>
        <v>-0.79798404031918413</v>
      </c>
      <c r="L13" s="250"/>
      <c r="M13" s="221">
        <v>14.67</v>
      </c>
      <c r="N13" s="247">
        <f t="shared" si="2"/>
        <v>27.752553916004537</v>
      </c>
      <c r="O13" s="15">
        <v>13.28</v>
      </c>
      <c r="P13" s="247">
        <f t="shared" ref="P13:P17" si="4">((M13-O13)/O13)*100</f>
        <v>10.466867469879523</v>
      </c>
      <c r="Q13" s="250"/>
      <c r="R13" s="246">
        <f t="shared" ref="R13:T15" si="5">C13+H13+M13</f>
        <v>167.89999999999998</v>
      </c>
      <c r="S13" s="248">
        <f>(R13/$R$17)*100</f>
        <v>27.865369933946294</v>
      </c>
      <c r="T13" s="246">
        <f t="shared" si="5"/>
        <v>166.14</v>
      </c>
      <c r="U13" s="249">
        <f t="shared" si="3"/>
        <v>1.0593475382207722</v>
      </c>
      <c r="V13" s="22"/>
      <c r="W13" s="22"/>
      <c r="X13" s="22"/>
    </row>
    <row r="14" spans="2:24" x14ac:dyDescent="0.3">
      <c r="B14" s="22" t="s">
        <v>107</v>
      </c>
      <c r="C14" s="106">
        <v>21.39</v>
      </c>
      <c r="D14" s="108">
        <f>(C14/$C$17)*100</f>
        <v>5.4974427510344643</v>
      </c>
      <c r="E14" s="109">
        <v>18.170000000000002</v>
      </c>
      <c r="F14" s="247">
        <f t="shared" si="0"/>
        <v>17.721518987341764</v>
      </c>
      <c r="G14" s="250"/>
      <c r="H14" s="221">
        <v>17.34</v>
      </c>
      <c r="I14" s="247">
        <f>(H14/$H$17)*100</f>
        <v>10.797683541939099</v>
      </c>
      <c r="J14" s="109">
        <v>19.440000000000001</v>
      </c>
      <c r="K14" s="247">
        <f t="shared" si="1"/>
        <v>-10.802469135802475</v>
      </c>
      <c r="L14" s="250"/>
      <c r="M14" s="221">
        <v>15.46</v>
      </c>
      <c r="N14" s="247">
        <f t="shared" si="2"/>
        <v>29.24706772606886</v>
      </c>
      <c r="O14" s="15">
        <v>12.48</v>
      </c>
      <c r="P14" s="247">
        <f t="shared" si="4"/>
        <v>23.878205128205131</v>
      </c>
      <c r="Q14" s="250"/>
      <c r="R14" s="246">
        <f t="shared" si="5"/>
        <v>54.190000000000005</v>
      </c>
      <c r="S14" s="248">
        <f>(R14/$R$17)*100</f>
        <v>8.9935937863046451</v>
      </c>
      <c r="T14" s="246">
        <f t="shared" si="5"/>
        <v>50.09</v>
      </c>
      <c r="U14" s="249">
        <f t="shared" si="3"/>
        <v>8.1852665202635269</v>
      </c>
      <c r="V14" s="22"/>
      <c r="W14" s="22"/>
      <c r="X14" s="22"/>
    </row>
    <row r="15" spans="2:24" x14ac:dyDescent="0.3">
      <c r="B15" s="22" t="s">
        <v>17</v>
      </c>
      <c r="C15" s="106">
        <v>13.11</v>
      </c>
      <c r="D15" s="108">
        <f>(C15/$C$17)*100</f>
        <v>3.3694003957953167</v>
      </c>
      <c r="E15" s="109">
        <f>13.55</f>
        <v>13.55</v>
      </c>
      <c r="F15" s="247">
        <f t="shared" si="0"/>
        <v>-3.2472324723247326</v>
      </c>
      <c r="G15" s="250"/>
      <c r="H15" s="221">
        <v>41.98</v>
      </c>
      <c r="I15" s="247">
        <f>(H15/$H$17)*100</f>
        <v>26.141104676505382</v>
      </c>
      <c r="J15" s="109">
        <v>52.26</v>
      </c>
      <c r="K15" s="247">
        <f t="shared" si="1"/>
        <v>-19.6708763872943</v>
      </c>
      <c r="L15" s="250"/>
      <c r="M15" s="221">
        <v>17.670000000000002</v>
      </c>
      <c r="N15" s="247">
        <f t="shared" si="2"/>
        <v>33.427922814982978</v>
      </c>
      <c r="O15" s="15">
        <v>18.53</v>
      </c>
      <c r="P15" s="247">
        <f t="shared" si="4"/>
        <v>-4.6411225040474875</v>
      </c>
      <c r="Q15" s="250"/>
      <c r="R15" s="246">
        <f t="shared" si="5"/>
        <v>72.759999999999991</v>
      </c>
      <c r="S15" s="248">
        <f>(R15/$R$17)*100</f>
        <v>12.075546851661299</v>
      </c>
      <c r="T15" s="246">
        <f t="shared" si="5"/>
        <v>84.34</v>
      </c>
      <c r="U15" s="249">
        <f t="shared" si="3"/>
        <v>-13.73013990988856</v>
      </c>
      <c r="V15" s="22"/>
      <c r="W15" s="22"/>
      <c r="X15" s="22"/>
    </row>
    <row r="16" spans="2:24" x14ac:dyDescent="0.3">
      <c r="B16" s="22"/>
      <c r="C16" s="22"/>
      <c r="D16" s="108"/>
      <c r="E16" s="22"/>
      <c r="F16" s="108"/>
      <c r="G16" s="25"/>
      <c r="H16" s="22"/>
      <c r="I16" s="108"/>
      <c r="J16" s="22"/>
      <c r="K16" s="108"/>
      <c r="L16" s="25"/>
      <c r="M16" s="22"/>
      <c r="N16" s="108"/>
      <c r="O16" s="25"/>
      <c r="P16" s="108"/>
      <c r="Q16" s="25"/>
      <c r="S16" s="12"/>
      <c r="T16" s="25"/>
      <c r="U16" s="20"/>
      <c r="V16" s="22"/>
      <c r="W16" s="22"/>
      <c r="X16" s="22"/>
    </row>
    <row r="17" spans="2:24" s="6" customFormat="1" ht="17.399999999999999" x14ac:dyDescent="0.3">
      <c r="B17" s="125" t="s">
        <v>1</v>
      </c>
      <c r="C17" s="89">
        <f>+C12+C10</f>
        <v>389.09000000000003</v>
      </c>
      <c r="D17" s="126">
        <f>(C17/$C$17)*100</f>
        <v>100</v>
      </c>
      <c r="E17" s="89">
        <f>+E12+E10</f>
        <v>385.11</v>
      </c>
      <c r="F17" s="126">
        <f t="shared" si="0"/>
        <v>1.0334709563501383</v>
      </c>
      <c r="G17" s="127"/>
      <c r="H17" s="89">
        <f>+H12+H10</f>
        <v>160.59</v>
      </c>
      <c r="I17" s="126">
        <f>(H17/$H$17)*100</f>
        <v>100</v>
      </c>
      <c r="J17" s="89">
        <f>+J12+J10</f>
        <v>184.32999999999998</v>
      </c>
      <c r="K17" s="126">
        <f t="shared" si="1"/>
        <v>-12.879075570986808</v>
      </c>
      <c r="L17" s="127"/>
      <c r="M17" s="128">
        <f>+M12+M10</f>
        <v>52.860000000000007</v>
      </c>
      <c r="N17" s="126">
        <f t="shared" si="2"/>
        <v>100</v>
      </c>
      <c r="O17" s="89">
        <f>+O12+O10</f>
        <v>48.83</v>
      </c>
      <c r="P17" s="126">
        <f t="shared" si="4"/>
        <v>8.2531230800737418</v>
      </c>
      <c r="Q17" s="127"/>
      <c r="R17" s="89">
        <f>+R12+R10</f>
        <v>602.54</v>
      </c>
      <c r="S17" s="129">
        <f>(R17/$R$17)*100</f>
        <v>100</v>
      </c>
      <c r="T17" s="252">
        <f>+T12+T10</f>
        <v>618.27</v>
      </c>
      <c r="U17" s="128">
        <f t="shared" si="3"/>
        <v>-2.5441959014669999</v>
      </c>
      <c r="V17" s="81"/>
      <c r="W17" s="81"/>
      <c r="X17" s="81"/>
    </row>
    <row r="18" spans="2:24" s="6" customFormat="1" x14ac:dyDescent="0.3">
      <c r="B18" s="22"/>
      <c r="C18" s="22"/>
      <c r="D18" s="22"/>
      <c r="E18" s="22"/>
      <c r="F18" s="22"/>
      <c r="G18" s="105"/>
      <c r="H18" s="81"/>
      <c r="I18" s="81"/>
      <c r="J18" s="81"/>
      <c r="K18" s="81"/>
      <c r="L18" s="105"/>
      <c r="M18" s="81"/>
      <c r="N18" s="81"/>
      <c r="O18" s="81"/>
      <c r="P18" s="81"/>
      <c r="Q18" s="105"/>
      <c r="S18" s="105"/>
      <c r="T18" s="105"/>
      <c r="U18" s="110"/>
      <c r="V18" s="81"/>
      <c r="W18" s="81"/>
      <c r="X18" s="81"/>
    </row>
    <row r="19" spans="2:24" x14ac:dyDescent="0.3">
      <c r="G19" s="107"/>
      <c r="I19" s="24"/>
      <c r="J19" s="24"/>
    </row>
  </sheetData>
  <mergeCells count="5">
    <mergeCell ref="H6:K6"/>
    <mergeCell ref="M6:P6"/>
    <mergeCell ref="R6:U6"/>
    <mergeCell ref="B2:U2"/>
    <mergeCell ref="C6:F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5"/>
  <sheetViews>
    <sheetView showGridLines="0" zoomScaleNormal="100" workbookViewId="0">
      <selection activeCell="K22" sqref="K22"/>
    </sheetView>
  </sheetViews>
  <sheetFormatPr baseColWidth="10" defaultRowHeight="15.6" x14ac:dyDescent="0.3"/>
  <cols>
    <col min="1" max="1" width="5.59765625" style="76" customWidth="1"/>
    <col min="2" max="2" width="24.8984375" style="76" customWidth="1"/>
    <col min="3" max="5" width="8.59765625" style="76" customWidth="1"/>
    <col min="6" max="6" width="1" style="76" customWidth="1"/>
    <col min="7" max="9" width="8.59765625" style="76" customWidth="1"/>
    <col min="10" max="10" width="2.09765625" style="76" customWidth="1"/>
    <col min="11" max="13" width="8.59765625" style="76" customWidth="1"/>
    <col min="14" max="14" width="1" style="76" customWidth="1"/>
    <col min="15" max="17" width="8.59765625" style="76" customWidth="1"/>
    <col min="18" max="18" width="2.09765625" style="76" customWidth="1"/>
    <col min="19" max="20" width="8.59765625" style="76" customWidth="1"/>
    <col min="21" max="21" width="1" style="76" customWidth="1"/>
    <col min="22" max="24" width="8.59765625" style="76" customWidth="1"/>
    <col min="25" max="267" width="11" style="76"/>
    <col min="268" max="268" width="27.69921875" style="76" customWidth="1"/>
    <col min="269" max="269" width="10.3984375" style="76" customWidth="1"/>
    <col min="270" max="270" width="10.09765625" style="76" customWidth="1"/>
    <col min="271" max="271" width="10.8984375" style="76" customWidth="1"/>
    <col min="272" max="272" width="10.69921875" style="76" customWidth="1"/>
    <col min="273" max="273" width="10.09765625" style="76" customWidth="1"/>
    <col min="274" max="274" width="10.8984375" style="76" customWidth="1"/>
    <col min="275" max="275" width="10.19921875" style="76" customWidth="1"/>
    <col min="276" max="279" width="11" style="76"/>
    <col min="280" max="280" width="23.5" style="76" customWidth="1"/>
    <col min="281" max="523" width="11" style="76"/>
    <col min="524" max="524" width="27.69921875" style="76" customWidth="1"/>
    <col min="525" max="525" width="10.3984375" style="76" customWidth="1"/>
    <col min="526" max="526" width="10.09765625" style="76" customWidth="1"/>
    <col min="527" max="527" width="10.8984375" style="76" customWidth="1"/>
    <col min="528" max="528" width="10.69921875" style="76" customWidth="1"/>
    <col min="529" max="529" width="10.09765625" style="76" customWidth="1"/>
    <col min="530" max="530" width="10.8984375" style="76" customWidth="1"/>
    <col min="531" max="531" width="10.19921875" style="76" customWidth="1"/>
    <col min="532" max="535" width="11" style="76"/>
    <col min="536" max="536" width="23.5" style="76" customWidth="1"/>
    <col min="537" max="779" width="11" style="76"/>
    <col min="780" max="780" width="27.69921875" style="76" customWidth="1"/>
    <col min="781" max="781" width="10.3984375" style="76" customWidth="1"/>
    <col min="782" max="782" width="10.09765625" style="76" customWidth="1"/>
    <col min="783" max="783" width="10.8984375" style="76" customWidth="1"/>
    <col min="784" max="784" width="10.69921875" style="76" customWidth="1"/>
    <col min="785" max="785" width="10.09765625" style="76" customWidth="1"/>
    <col min="786" max="786" width="10.8984375" style="76" customWidth="1"/>
    <col min="787" max="787" width="10.19921875" style="76" customWidth="1"/>
    <col min="788" max="791" width="11" style="76"/>
    <col min="792" max="792" width="23.5" style="76" customWidth="1"/>
    <col min="793" max="1035" width="11" style="76"/>
    <col min="1036" max="1036" width="27.69921875" style="76" customWidth="1"/>
    <col min="1037" max="1037" width="10.3984375" style="76" customWidth="1"/>
    <col min="1038" max="1038" width="10.09765625" style="76" customWidth="1"/>
    <col min="1039" max="1039" width="10.8984375" style="76" customWidth="1"/>
    <col min="1040" max="1040" width="10.69921875" style="76" customWidth="1"/>
    <col min="1041" max="1041" width="10.09765625" style="76" customWidth="1"/>
    <col min="1042" max="1042" width="10.8984375" style="76" customWidth="1"/>
    <col min="1043" max="1043" width="10.19921875" style="76" customWidth="1"/>
    <col min="1044" max="1047" width="11" style="76"/>
    <col min="1048" max="1048" width="23.5" style="76" customWidth="1"/>
    <col min="1049" max="1291" width="11" style="76"/>
    <col min="1292" max="1292" width="27.69921875" style="76" customWidth="1"/>
    <col min="1293" max="1293" width="10.3984375" style="76" customWidth="1"/>
    <col min="1294" max="1294" width="10.09765625" style="76" customWidth="1"/>
    <col min="1295" max="1295" width="10.8984375" style="76" customWidth="1"/>
    <col min="1296" max="1296" width="10.69921875" style="76" customWidth="1"/>
    <col min="1297" max="1297" width="10.09765625" style="76" customWidth="1"/>
    <col min="1298" max="1298" width="10.8984375" style="76" customWidth="1"/>
    <col min="1299" max="1299" width="10.19921875" style="76" customWidth="1"/>
    <col min="1300" max="1303" width="11" style="76"/>
    <col min="1304" max="1304" width="23.5" style="76" customWidth="1"/>
    <col min="1305" max="1547" width="11" style="76"/>
    <col min="1548" max="1548" width="27.69921875" style="76" customWidth="1"/>
    <col min="1549" max="1549" width="10.3984375" style="76" customWidth="1"/>
    <col min="1550" max="1550" width="10.09765625" style="76" customWidth="1"/>
    <col min="1551" max="1551" width="10.8984375" style="76" customWidth="1"/>
    <col min="1552" max="1552" width="10.69921875" style="76" customWidth="1"/>
    <col min="1553" max="1553" width="10.09765625" style="76" customWidth="1"/>
    <col min="1554" max="1554" width="10.8984375" style="76" customWidth="1"/>
    <col min="1555" max="1555" width="10.19921875" style="76" customWidth="1"/>
    <col min="1556" max="1559" width="11" style="76"/>
    <col min="1560" max="1560" width="23.5" style="76" customWidth="1"/>
    <col min="1561" max="1803" width="11" style="76"/>
    <col min="1804" max="1804" width="27.69921875" style="76" customWidth="1"/>
    <col min="1805" max="1805" width="10.3984375" style="76" customWidth="1"/>
    <col min="1806" max="1806" width="10.09765625" style="76" customWidth="1"/>
    <col min="1807" max="1807" width="10.8984375" style="76" customWidth="1"/>
    <col min="1808" max="1808" width="10.69921875" style="76" customWidth="1"/>
    <col min="1809" max="1809" width="10.09765625" style="76" customWidth="1"/>
    <col min="1810" max="1810" width="10.8984375" style="76" customWidth="1"/>
    <col min="1811" max="1811" width="10.19921875" style="76" customWidth="1"/>
    <col min="1812" max="1815" width="11" style="76"/>
    <col min="1816" max="1816" width="23.5" style="76" customWidth="1"/>
    <col min="1817" max="2059" width="11" style="76"/>
    <col min="2060" max="2060" width="27.69921875" style="76" customWidth="1"/>
    <col min="2061" max="2061" width="10.3984375" style="76" customWidth="1"/>
    <col min="2062" max="2062" width="10.09765625" style="76" customWidth="1"/>
    <col min="2063" max="2063" width="10.8984375" style="76" customWidth="1"/>
    <col min="2064" max="2064" width="10.69921875" style="76" customWidth="1"/>
    <col min="2065" max="2065" width="10.09765625" style="76" customWidth="1"/>
    <col min="2066" max="2066" width="10.8984375" style="76" customWidth="1"/>
    <col min="2067" max="2067" width="10.19921875" style="76" customWidth="1"/>
    <col min="2068" max="2071" width="11" style="76"/>
    <col min="2072" max="2072" width="23.5" style="76" customWidth="1"/>
    <col min="2073" max="2315" width="11" style="76"/>
    <col min="2316" max="2316" width="27.69921875" style="76" customWidth="1"/>
    <col min="2317" max="2317" width="10.3984375" style="76" customWidth="1"/>
    <col min="2318" max="2318" width="10.09765625" style="76" customWidth="1"/>
    <col min="2319" max="2319" width="10.8984375" style="76" customWidth="1"/>
    <col min="2320" max="2320" width="10.69921875" style="76" customWidth="1"/>
    <col min="2321" max="2321" width="10.09765625" style="76" customWidth="1"/>
    <col min="2322" max="2322" width="10.8984375" style="76" customWidth="1"/>
    <col min="2323" max="2323" width="10.19921875" style="76" customWidth="1"/>
    <col min="2324" max="2327" width="11" style="76"/>
    <col min="2328" max="2328" width="23.5" style="76" customWidth="1"/>
    <col min="2329" max="2571" width="11" style="76"/>
    <col min="2572" max="2572" width="27.69921875" style="76" customWidth="1"/>
    <col min="2573" max="2573" width="10.3984375" style="76" customWidth="1"/>
    <col min="2574" max="2574" width="10.09765625" style="76" customWidth="1"/>
    <col min="2575" max="2575" width="10.8984375" style="76" customWidth="1"/>
    <col min="2576" max="2576" width="10.69921875" style="76" customWidth="1"/>
    <col min="2577" max="2577" width="10.09765625" style="76" customWidth="1"/>
    <col min="2578" max="2578" width="10.8984375" style="76" customWidth="1"/>
    <col min="2579" max="2579" width="10.19921875" style="76" customWidth="1"/>
    <col min="2580" max="2583" width="11" style="76"/>
    <col min="2584" max="2584" width="23.5" style="76" customWidth="1"/>
    <col min="2585" max="2827" width="11" style="76"/>
    <col min="2828" max="2828" width="27.69921875" style="76" customWidth="1"/>
    <col min="2829" max="2829" width="10.3984375" style="76" customWidth="1"/>
    <col min="2830" max="2830" width="10.09765625" style="76" customWidth="1"/>
    <col min="2831" max="2831" width="10.8984375" style="76" customWidth="1"/>
    <col min="2832" max="2832" width="10.69921875" style="76" customWidth="1"/>
    <col min="2833" max="2833" width="10.09765625" style="76" customWidth="1"/>
    <col min="2834" max="2834" width="10.8984375" style="76" customWidth="1"/>
    <col min="2835" max="2835" width="10.19921875" style="76" customWidth="1"/>
    <col min="2836" max="2839" width="11" style="76"/>
    <col min="2840" max="2840" width="23.5" style="76" customWidth="1"/>
    <col min="2841" max="3083" width="11" style="76"/>
    <col min="3084" max="3084" width="27.69921875" style="76" customWidth="1"/>
    <col min="3085" max="3085" width="10.3984375" style="76" customWidth="1"/>
    <col min="3086" max="3086" width="10.09765625" style="76" customWidth="1"/>
    <col min="3087" max="3087" width="10.8984375" style="76" customWidth="1"/>
    <col min="3088" max="3088" width="10.69921875" style="76" customWidth="1"/>
    <col min="3089" max="3089" width="10.09765625" style="76" customWidth="1"/>
    <col min="3090" max="3090" width="10.8984375" style="76" customWidth="1"/>
    <col min="3091" max="3091" width="10.19921875" style="76" customWidth="1"/>
    <col min="3092" max="3095" width="11" style="76"/>
    <col min="3096" max="3096" width="23.5" style="76" customWidth="1"/>
    <col min="3097" max="3339" width="11" style="76"/>
    <col min="3340" max="3340" width="27.69921875" style="76" customWidth="1"/>
    <col min="3341" max="3341" width="10.3984375" style="76" customWidth="1"/>
    <col min="3342" max="3342" width="10.09765625" style="76" customWidth="1"/>
    <col min="3343" max="3343" width="10.8984375" style="76" customWidth="1"/>
    <col min="3344" max="3344" width="10.69921875" style="76" customWidth="1"/>
    <col min="3345" max="3345" width="10.09765625" style="76" customWidth="1"/>
    <col min="3346" max="3346" width="10.8984375" style="76" customWidth="1"/>
    <col min="3347" max="3347" width="10.19921875" style="76" customWidth="1"/>
    <col min="3348" max="3351" width="11" style="76"/>
    <col min="3352" max="3352" width="23.5" style="76" customWidth="1"/>
    <col min="3353" max="3595" width="11" style="76"/>
    <col min="3596" max="3596" width="27.69921875" style="76" customWidth="1"/>
    <col min="3597" max="3597" width="10.3984375" style="76" customWidth="1"/>
    <col min="3598" max="3598" width="10.09765625" style="76" customWidth="1"/>
    <col min="3599" max="3599" width="10.8984375" style="76" customWidth="1"/>
    <col min="3600" max="3600" width="10.69921875" style="76" customWidth="1"/>
    <col min="3601" max="3601" width="10.09765625" style="76" customWidth="1"/>
    <col min="3602" max="3602" width="10.8984375" style="76" customWidth="1"/>
    <col min="3603" max="3603" width="10.19921875" style="76" customWidth="1"/>
    <col min="3604" max="3607" width="11" style="76"/>
    <col min="3608" max="3608" width="23.5" style="76" customWidth="1"/>
    <col min="3609" max="3851" width="11" style="76"/>
    <col min="3852" max="3852" width="27.69921875" style="76" customWidth="1"/>
    <col min="3853" max="3853" width="10.3984375" style="76" customWidth="1"/>
    <col min="3854" max="3854" width="10.09765625" style="76" customWidth="1"/>
    <col min="3855" max="3855" width="10.8984375" style="76" customWidth="1"/>
    <col min="3856" max="3856" width="10.69921875" style="76" customWidth="1"/>
    <col min="3857" max="3857" width="10.09765625" style="76" customWidth="1"/>
    <col min="3858" max="3858" width="10.8984375" style="76" customWidth="1"/>
    <col min="3859" max="3859" width="10.19921875" style="76" customWidth="1"/>
    <col min="3860" max="3863" width="11" style="76"/>
    <col min="3864" max="3864" width="23.5" style="76" customWidth="1"/>
    <col min="3865" max="4107" width="11" style="76"/>
    <col min="4108" max="4108" width="27.69921875" style="76" customWidth="1"/>
    <col min="4109" max="4109" width="10.3984375" style="76" customWidth="1"/>
    <col min="4110" max="4110" width="10.09765625" style="76" customWidth="1"/>
    <col min="4111" max="4111" width="10.8984375" style="76" customWidth="1"/>
    <col min="4112" max="4112" width="10.69921875" style="76" customWidth="1"/>
    <col min="4113" max="4113" width="10.09765625" style="76" customWidth="1"/>
    <col min="4114" max="4114" width="10.8984375" style="76" customWidth="1"/>
    <col min="4115" max="4115" width="10.19921875" style="76" customWidth="1"/>
    <col min="4116" max="4119" width="11" style="76"/>
    <col min="4120" max="4120" width="23.5" style="76" customWidth="1"/>
    <col min="4121" max="4363" width="11" style="76"/>
    <col min="4364" max="4364" width="27.69921875" style="76" customWidth="1"/>
    <col min="4365" max="4365" width="10.3984375" style="76" customWidth="1"/>
    <col min="4366" max="4366" width="10.09765625" style="76" customWidth="1"/>
    <col min="4367" max="4367" width="10.8984375" style="76" customWidth="1"/>
    <col min="4368" max="4368" width="10.69921875" style="76" customWidth="1"/>
    <col min="4369" max="4369" width="10.09765625" style="76" customWidth="1"/>
    <col min="4370" max="4370" width="10.8984375" style="76" customWidth="1"/>
    <col min="4371" max="4371" width="10.19921875" style="76" customWidth="1"/>
    <col min="4372" max="4375" width="11" style="76"/>
    <col min="4376" max="4376" width="23.5" style="76" customWidth="1"/>
    <col min="4377" max="4619" width="11" style="76"/>
    <col min="4620" max="4620" width="27.69921875" style="76" customWidth="1"/>
    <col min="4621" max="4621" width="10.3984375" style="76" customWidth="1"/>
    <col min="4622" max="4622" width="10.09765625" style="76" customWidth="1"/>
    <col min="4623" max="4623" width="10.8984375" style="76" customWidth="1"/>
    <col min="4624" max="4624" width="10.69921875" style="76" customWidth="1"/>
    <col min="4625" max="4625" width="10.09765625" style="76" customWidth="1"/>
    <col min="4626" max="4626" width="10.8984375" style="76" customWidth="1"/>
    <col min="4627" max="4627" width="10.19921875" style="76" customWidth="1"/>
    <col min="4628" max="4631" width="11" style="76"/>
    <col min="4632" max="4632" width="23.5" style="76" customWidth="1"/>
    <col min="4633" max="4875" width="11" style="76"/>
    <col min="4876" max="4876" width="27.69921875" style="76" customWidth="1"/>
    <col min="4877" max="4877" width="10.3984375" style="76" customWidth="1"/>
    <col min="4878" max="4878" width="10.09765625" style="76" customWidth="1"/>
    <col min="4879" max="4879" width="10.8984375" style="76" customWidth="1"/>
    <col min="4880" max="4880" width="10.69921875" style="76" customWidth="1"/>
    <col min="4881" max="4881" width="10.09765625" style="76" customWidth="1"/>
    <col min="4882" max="4882" width="10.8984375" style="76" customWidth="1"/>
    <col min="4883" max="4883" width="10.19921875" style="76" customWidth="1"/>
    <col min="4884" max="4887" width="11" style="76"/>
    <col min="4888" max="4888" width="23.5" style="76" customWidth="1"/>
    <col min="4889" max="5131" width="11" style="76"/>
    <col min="5132" max="5132" width="27.69921875" style="76" customWidth="1"/>
    <col min="5133" max="5133" width="10.3984375" style="76" customWidth="1"/>
    <col min="5134" max="5134" width="10.09765625" style="76" customWidth="1"/>
    <col min="5135" max="5135" width="10.8984375" style="76" customWidth="1"/>
    <col min="5136" max="5136" width="10.69921875" style="76" customWidth="1"/>
    <col min="5137" max="5137" width="10.09765625" style="76" customWidth="1"/>
    <col min="5138" max="5138" width="10.8984375" style="76" customWidth="1"/>
    <col min="5139" max="5139" width="10.19921875" style="76" customWidth="1"/>
    <col min="5140" max="5143" width="11" style="76"/>
    <col min="5144" max="5144" width="23.5" style="76" customWidth="1"/>
    <col min="5145" max="5387" width="11" style="76"/>
    <col min="5388" max="5388" width="27.69921875" style="76" customWidth="1"/>
    <col min="5389" max="5389" width="10.3984375" style="76" customWidth="1"/>
    <col min="5390" max="5390" width="10.09765625" style="76" customWidth="1"/>
    <col min="5391" max="5391" width="10.8984375" style="76" customWidth="1"/>
    <col min="5392" max="5392" width="10.69921875" style="76" customWidth="1"/>
    <col min="5393" max="5393" width="10.09765625" style="76" customWidth="1"/>
    <col min="5394" max="5394" width="10.8984375" style="76" customWidth="1"/>
    <col min="5395" max="5395" width="10.19921875" style="76" customWidth="1"/>
    <col min="5396" max="5399" width="11" style="76"/>
    <col min="5400" max="5400" width="23.5" style="76" customWidth="1"/>
    <col min="5401" max="5643" width="11" style="76"/>
    <col min="5644" max="5644" width="27.69921875" style="76" customWidth="1"/>
    <col min="5645" max="5645" width="10.3984375" style="76" customWidth="1"/>
    <col min="5646" max="5646" width="10.09765625" style="76" customWidth="1"/>
    <col min="5647" max="5647" width="10.8984375" style="76" customWidth="1"/>
    <col min="5648" max="5648" width="10.69921875" style="76" customWidth="1"/>
    <col min="5649" max="5649" width="10.09765625" style="76" customWidth="1"/>
    <col min="5650" max="5650" width="10.8984375" style="76" customWidth="1"/>
    <col min="5651" max="5651" width="10.19921875" style="76" customWidth="1"/>
    <col min="5652" max="5655" width="11" style="76"/>
    <col min="5656" max="5656" width="23.5" style="76" customWidth="1"/>
    <col min="5657" max="5899" width="11" style="76"/>
    <col min="5900" max="5900" width="27.69921875" style="76" customWidth="1"/>
    <col min="5901" max="5901" width="10.3984375" style="76" customWidth="1"/>
    <col min="5902" max="5902" width="10.09765625" style="76" customWidth="1"/>
    <col min="5903" max="5903" width="10.8984375" style="76" customWidth="1"/>
    <col min="5904" max="5904" width="10.69921875" style="76" customWidth="1"/>
    <col min="5905" max="5905" width="10.09765625" style="76" customWidth="1"/>
    <col min="5906" max="5906" width="10.8984375" style="76" customWidth="1"/>
    <col min="5907" max="5907" width="10.19921875" style="76" customWidth="1"/>
    <col min="5908" max="5911" width="11" style="76"/>
    <col min="5912" max="5912" width="23.5" style="76" customWidth="1"/>
    <col min="5913" max="6155" width="11" style="76"/>
    <col min="6156" max="6156" width="27.69921875" style="76" customWidth="1"/>
    <col min="6157" max="6157" width="10.3984375" style="76" customWidth="1"/>
    <col min="6158" max="6158" width="10.09765625" style="76" customWidth="1"/>
    <col min="6159" max="6159" width="10.8984375" style="76" customWidth="1"/>
    <col min="6160" max="6160" width="10.69921875" style="76" customWidth="1"/>
    <col min="6161" max="6161" width="10.09765625" style="76" customWidth="1"/>
    <col min="6162" max="6162" width="10.8984375" style="76" customWidth="1"/>
    <col min="6163" max="6163" width="10.19921875" style="76" customWidth="1"/>
    <col min="6164" max="6167" width="11" style="76"/>
    <col min="6168" max="6168" width="23.5" style="76" customWidth="1"/>
    <col min="6169" max="6411" width="11" style="76"/>
    <col min="6412" max="6412" width="27.69921875" style="76" customWidth="1"/>
    <col min="6413" max="6413" width="10.3984375" style="76" customWidth="1"/>
    <col min="6414" max="6414" width="10.09765625" style="76" customWidth="1"/>
    <col min="6415" max="6415" width="10.8984375" style="76" customWidth="1"/>
    <col min="6416" max="6416" width="10.69921875" style="76" customWidth="1"/>
    <col min="6417" max="6417" width="10.09765625" style="76" customWidth="1"/>
    <col min="6418" max="6418" width="10.8984375" style="76" customWidth="1"/>
    <col min="6419" max="6419" width="10.19921875" style="76" customWidth="1"/>
    <col min="6420" max="6423" width="11" style="76"/>
    <col min="6424" max="6424" width="23.5" style="76" customWidth="1"/>
    <col min="6425" max="6667" width="11" style="76"/>
    <col min="6668" max="6668" width="27.69921875" style="76" customWidth="1"/>
    <col min="6669" max="6669" width="10.3984375" style="76" customWidth="1"/>
    <col min="6670" max="6670" width="10.09765625" style="76" customWidth="1"/>
    <col min="6671" max="6671" width="10.8984375" style="76" customWidth="1"/>
    <col min="6672" max="6672" width="10.69921875" style="76" customWidth="1"/>
    <col min="6673" max="6673" width="10.09765625" style="76" customWidth="1"/>
    <col min="6674" max="6674" width="10.8984375" style="76" customWidth="1"/>
    <col min="6675" max="6675" width="10.19921875" style="76" customWidth="1"/>
    <col min="6676" max="6679" width="11" style="76"/>
    <col min="6680" max="6680" width="23.5" style="76" customWidth="1"/>
    <col min="6681" max="6923" width="11" style="76"/>
    <col min="6924" max="6924" width="27.69921875" style="76" customWidth="1"/>
    <col min="6925" max="6925" width="10.3984375" style="76" customWidth="1"/>
    <col min="6926" max="6926" width="10.09765625" style="76" customWidth="1"/>
    <col min="6927" max="6927" width="10.8984375" style="76" customWidth="1"/>
    <col min="6928" max="6928" width="10.69921875" style="76" customWidth="1"/>
    <col min="6929" max="6929" width="10.09765625" style="76" customWidth="1"/>
    <col min="6930" max="6930" width="10.8984375" style="76" customWidth="1"/>
    <col min="6931" max="6931" width="10.19921875" style="76" customWidth="1"/>
    <col min="6932" max="6935" width="11" style="76"/>
    <col min="6936" max="6936" width="23.5" style="76" customWidth="1"/>
    <col min="6937" max="7179" width="11" style="76"/>
    <col min="7180" max="7180" width="27.69921875" style="76" customWidth="1"/>
    <col min="7181" max="7181" width="10.3984375" style="76" customWidth="1"/>
    <col min="7182" max="7182" width="10.09765625" style="76" customWidth="1"/>
    <col min="7183" max="7183" width="10.8984375" style="76" customWidth="1"/>
    <col min="7184" max="7184" width="10.69921875" style="76" customWidth="1"/>
    <col min="7185" max="7185" width="10.09765625" style="76" customWidth="1"/>
    <col min="7186" max="7186" width="10.8984375" style="76" customWidth="1"/>
    <col min="7187" max="7187" width="10.19921875" style="76" customWidth="1"/>
    <col min="7188" max="7191" width="11" style="76"/>
    <col min="7192" max="7192" width="23.5" style="76" customWidth="1"/>
    <col min="7193" max="7435" width="11" style="76"/>
    <col min="7436" max="7436" width="27.69921875" style="76" customWidth="1"/>
    <col min="7437" max="7437" width="10.3984375" style="76" customWidth="1"/>
    <col min="7438" max="7438" width="10.09765625" style="76" customWidth="1"/>
    <col min="7439" max="7439" width="10.8984375" style="76" customWidth="1"/>
    <col min="7440" max="7440" width="10.69921875" style="76" customWidth="1"/>
    <col min="7441" max="7441" width="10.09765625" style="76" customWidth="1"/>
    <col min="7442" max="7442" width="10.8984375" style="76" customWidth="1"/>
    <col min="7443" max="7443" width="10.19921875" style="76" customWidth="1"/>
    <col min="7444" max="7447" width="11" style="76"/>
    <col min="7448" max="7448" width="23.5" style="76" customWidth="1"/>
    <col min="7449" max="7691" width="11" style="76"/>
    <col min="7692" max="7692" width="27.69921875" style="76" customWidth="1"/>
    <col min="7693" max="7693" width="10.3984375" style="76" customWidth="1"/>
    <col min="7694" max="7694" width="10.09765625" style="76" customWidth="1"/>
    <col min="7695" max="7695" width="10.8984375" style="76" customWidth="1"/>
    <col min="7696" max="7696" width="10.69921875" style="76" customWidth="1"/>
    <col min="7697" max="7697" width="10.09765625" style="76" customWidth="1"/>
    <col min="7698" max="7698" width="10.8984375" style="76" customWidth="1"/>
    <col min="7699" max="7699" width="10.19921875" style="76" customWidth="1"/>
    <col min="7700" max="7703" width="11" style="76"/>
    <col min="7704" max="7704" width="23.5" style="76" customWidth="1"/>
    <col min="7705" max="7947" width="11" style="76"/>
    <col min="7948" max="7948" width="27.69921875" style="76" customWidth="1"/>
    <col min="7949" max="7949" width="10.3984375" style="76" customWidth="1"/>
    <col min="7950" max="7950" width="10.09765625" style="76" customWidth="1"/>
    <col min="7951" max="7951" width="10.8984375" style="76" customWidth="1"/>
    <col min="7952" max="7952" width="10.69921875" style="76" customWidth="1"/>
    <col min="7953" max="7953" width="10.09765625" style="76" customWidth="1"/>
    <col min="7954" max="7954" width="10.8984375" style="76" customWidth="1"/>
    <col min="7955" max="7955" width="10.19921875" style="76" customWidth="1"/>
    <col min="7956" max="7959" width="11" style="76"/>
    <col min="7960" max="7960" width="23.5" style="76" customWidth="1"/>
    <col min="7961" max="8203" width="11" style="76"/>
    <col min="8204" max="8204" width="27.69921875" style="76" customWidth="1"/>
    <col min="8205" max="8205" width="10.3984375" style="76" customWidth="1"/>
    <col min="8206" max="8206" width="10.09765625" style="76" customWidth="1"/>
    <col min="8207" max="8207" width="10.8984375" style="76" customWidth="1"/>
    <col min="8208" max="8208" width="10.69921875" style="76" customWidth="1"/>
    <col min="8209" max="8209" width="10.09765625" style="76" customWidth="1"/>
    <col min="8210" max="8210" width="10.8984375" style="76" customWidth="1"/>
    <col min="8211" max="8211" width="10.19921875" style="76" customWidth="1"/>
    <col min="8212" max="8215" width="11" style="76"/>
    <col min="8216" max="8216" width="23.5" style="76" customWidth="1"/>
    <col min="8217" max="8459" width="11" style="76"/>
    <col min="8460" max="8460" width="27.69921875" style="76" customWidth="1"/>
    <col min="8461" max="8461" width="10.3984375" style="76" customWidth="1"/>
    <col min="8462" max="8462" width="10.09765625" style="76" customWidth="1"/>
    <col min="8463" max="8463" width="10.8984375" style="76" customWidth="1"/>
    <col min="8464" max="8464" width="10.69921875" style="76" customWidth="1"/>
    <col min="8465" max="8465" width="10.09765625" style="76" customWidth="1"/>
    <col min="8466" max="8466" width="10.8984375" style="76" customWidth="1"/>
    <col min="8467" max="8467" width="10.19921875" style="76" customWidth="1"/>
    <col min="8468" max="8471" width="11" style="76"/>
    <col min="8472" max="8472" width="23.5" style="76" customWidth="1"/>
    <col min="8473" max="8715" width="11" style="76"/>
    <col min="8716" max="8716" width="27.69921875" style="76" customWidth="1"/>
    <col min="8717" max="8717" width="10.3984375" style="76" customWidth="1"/>
    <col min="8718" max="8718" width="10.09765625" style="76" customWidth="1"/>
    <col min="8719" max="8719" width="10.8984375" style="76" customWidth="1"/>
    <col min="8720" max="8720" width="10.69921875" style="76" customWidth="1"/>
    <col min="8721" max="8721" width="10.09765625" style="76" customWidth="1"/>
    <col min="8722" max="8722" width="10.8984375" style="76" customWidth="1"/>
    <col min="8723" max="8723" width="10.19921875" style="76" customWidth="1"/>
    <col min="8724" max="8727" width="11" style="76"/>
    <col min="8728" max="8728" width="23.5" style="76" customWidth="1"/>
    <col min="8729" max="8971" width="11" style="76"/>
    <col min="8972" max="8972" width="27.69921875" style="76" customWidth="1"/>
    <col min="8973" max="8973" width="10.3984375" style="76" customWidth="1"/>
    <col min="8974" max="8974" width="10.09765625" style="76" customWidth="1"/>
    <col min="8975" max="8975" width="10.8984375" style="76" customWidth="1"/>
    <col min="8976" max="8976" width="10.69921875" style="76" customWidth="1"/>
    <col min="8977" max="8977" width="10.09765625" style="76" customWidth="1"/>
    <col min="8978" max="8978" width="10.8984375" style="76" customWidth="1"/>
    <col min="8979" max="8979" width="10.19921875" style="76" customWidth="1"/>
    <col min="8980" max="8983" width="11" style="76"/>
    <col min="8984" max="8984" width="23.5" style="76" customWidth="1"/>
    <col min="8985" max="9227" width="11" style="76"/>
    <col min="9228" max="9228" width="27.69921875" style="76" customWidth="1"/>
    <col min="9229" max="9229" width="10.3984375" style="76" customWidth="1"/>
    <col min="9230" max="9230" width="10.09765625" style="76" customWidth="1"/>
    <col min="9231" max="9231" width="10.8984375" style="76" customWidth="1"/>
    <col min="9232" max="9232" width="10.69921875" style="76" customWidth="1"/>
    <col min="9233" max="9233" width="10.09765625" style="76" customWidth="1"/>
    <col min="9234" max="9234" width="10.8984375" style="76" customWidth="1"/>
    <col min="9235" max="9235" width="10.19921875" style="76" customWidth="1"/>
    <col min="9236" max="9239" width="11" style="76"/>
    <col min="9240" max="9240" width="23.5" style="76" customWidth="1"/>
    <col min="9241" max="9483" width="11" style="76"/>
    <col min="9484" max="9484" width="27.69921875" style="76" customWidth="1"/>
    <col min="9485" max="9485" width="10.3984375" style="76" customWidth="1"/>
    <col min="9486" max="9486" width="10.09765625" style="76" customWidth="1"/>
    <col min="9487" max="9487" width="10.8984375" style="76" customWidth="1"/>
    <col min="9488" max="9488" width="10.69921875" style="76" customWidth="1"/>
    <col min="9489" max="9489" width="10.09765625" style="76" customWidth="1"/>
    <col min="9490" max="9490" width="10.8984375" style="76" customWidth="1"/>
    <col min="9491" max="9491" width="10.19921875" style="76" customWidth="1"/>
    <col min="9492" max="9495" width="11" style="76"/>
    <col min="9496" max="9496" width="23.5" style="76" customWidth="1"/>
    <col min="9497" max="9739" width="11" style="76"/>
    <col min="9740" max="9740" width="27.69921875" style="76" customWidth="1"/>
    <col min="9741" max="9741" width="10.3984375" style="76" customWidth="1"/>
    <col min="9742" max="9742" width="10.09765625" style="76" customWidth="1"/>
    <col min="9743" max="9743" width="10.8984375" style="76" customWidth="1"/>
    <col min="9744" max="9744" width="10.69921875" style="76" customWidth="1"/>
    <col min="9745" max="9745" width="10.09765625" style="76" customWidth="1"/>
    <col min="9746" max="9746" width="10.8984375" style="76" customWidth="1"/>
    <col min="9747" max="9747" width="10.19921875" style="76" customWidth="1"/>
    <col min="9748" max="9751" width="11" style="76"/>
    <col min="9752" max="9752" width="23.5" style="76" customWidth="1"/>
    <col min="9753" max="9995" width="11" style="76"/>
    <col min="9996" max="9996" width="27.69921875" style="76" customWidth="1"/>
    <col min="9997" max="9997" width="10.3984375" style="76" customWidth="1"/>
    <col min="9998" max="9998" width="10.09765625" style="76" customWidth="1"/>
    <col min="9999" max="9999" width="10.8984375" style="76" customWidth="1"/>
    <col min="10000" max="10000" width="10.69921875" style="76" customWidth="1"/>
    <col min="10001" max="10001" width="10.09765625" style="76" customWidth="1"/>
    <col min="10002" max="10002" width="10.8984375" style="76" customWidth="1"/>
    <col min="10003" max="10003" width="10.19921875" style="76" customWidth="1"/>
    <col min="10004" max="10007" width="11" style="76"/>
    <col min="10008" max="10008" width="23.5" style="76" customWidth="1"/>
    <col min="10009" max="10251" width="11" style="76"/>
    <col min="10252" max="10252" width="27.69921875" style="76" customWidth="1"/>
    <col min="10253" max="10253" width="10.3984375" style="76" customWidth="1"/>
    <col min="10254" max="10254" width="10.09765625" style="76" customWidth="1"/>
    <col min="10255" max="10255" width="10.8984375" style="76" customWidth="1"/>
    <col min="10256" max="10256" width="10.69921875" style="76" customWidth="1"/>
    <col min="10257" max="10257" width="10.09765625" style="76" customWidth="1"/>
    <col min="10258" max="10258" width="10.8984375" style="76" customWidth="1"/>
    <col min="10259" max="10259" width="10.19921875" style="76" customWidth="1"/>
    <col min="10260" max="10263" width="11" style="76"/>
    <col min="10264" max="10264" width="23.5" style="76" customWidth="1"/>
    <col min="10265" max="10507" width="11" style="76"/>
    <col min="10508" max="10508" width="27.69921875" style="76" customWidth="1"/>
    <col min="10509" max="10509" width="10.3984375" style="76" customWidth="1"/>
    <col min="10510" max="10510" width="10.09765625" style="76" customWidth="1"/>
    <col min="10511" max="10511" width="10.8984375" style="76" customWidth="1"/>
    <col min="10512" max="10512" width="10.69921875" style="76" customWidth="1"/>
    <col min="10513" max="10513" width="10.09765625" style="76" customWidth="1"/>
    <col min="10514" max="10514" width="10.8984375" style="76" customWidth="1"/>
    <col min="10515" max="10515" width="10.19921875" style="76" customWidth="1"/>
    <col min="10516" max="10519" width="11" style="76"/>
    <col min="10520" max="10520" width="23.5" style="76" customWidth="1"/>
    <col min="10521" max="10763" width="11" style="76"/>
    <col min="10764" max="10764" width="27.69921875" style="76" customWidth="1"/>
    <col min="10765" max="10765" width="10.3984375" style="76" customWidth="1"/>
    <col min="10766" max="10766" width="10.09765625" style="76" customWidth="1"/>
    <col min="10767" max="10767" width="10.8984375" style="76" customWidth="1"/>
    <col min="10768" max="10768" width="10.69921875" style="76" customWidth="1"/>
    <col min="10769" max="10769" width="10.09765625" style="76" customWidth="1"/>
    <col min="10770" max="10770" width="10.8984375" style="76" customWidth="1"/>
    <col min="10771" max="10771" width="10.19921875" style="76" customWidth="1"/>
    <col min="10772" max="10775" width="11" style="76"/>
    <col min="10776" max="10776" width="23.5" style="76" customWidth="1"/>
    <col min="10777" max="11019" width="11" style="76"/>
    <col min="11020" max="11020" width="27.69921875" style="76" customWidth="1"/>
    <col min="11021" max="11021" width="10.3984375" style="76" customWidth="1"/>
    <col min="11022" max="11022" width="10.09765625" style="76" customWidth="1"/>
    <col min="11023" max="11023" width="10.8984375" style="76" customWidth="1"/>
    <col min="11024" max="11024" width="10.69921875" style="76" customWidth="1"/>
    <col min="11025" max="11025" width="10.09765625" style="76" customWidth="1"/>
    <col min="11026" max="11026" width="10.8984375" style="76" customWidth="1"/>
    <col min="11027" max="11027" width="10.19921875" style="76" customWidth="1"/>
    <col min="11028" max="11031" width="11" style="76"/>
    <col min="11032" max="11032" width="23.5" style="76" customWidth="1"/>
    <col min="11033" max="11275" width="11" style="76"/>
    <col min="11276" max="11276" width="27.69921875" style="76" customWidth="1"/>
    <col min="11277" max="11277" width="10.3984375" style="76" customWidth="1"/>
    <col min="11278" max="11278" width="10.09765625" style="76" customWidth="1"/>
    <col min="11279" max="11279" width="10.8984375" style="76" customWidth="1"/>
    <col min="11280" max="11280" width="10.69921875" style="76" customWidth="1"/>
    <col min="11281" max="11281" width="10.09765625" style="76" customWidth="1"/>
    <col min="11282" max="11282" width="10.8984375" style="76" customWidth="1"/>
    <col min="11283" max="11283" width="10.19921875" style="76" customWidth="1"/>
    <col min="11284" max="11287" width="11" style="76"/>
    <col min="11288" max="11288" width="23.5" style="76" customWidth="1"/>
    <col min="11289" max="11531" width="11" style="76"/>
    <col min="11532" max="11532" width="27.69921875" style="76" customWidth="1"/>
    <col min="11533" max="11533" width="10.3984375" style="76" customWidth="1"/>
    <col min="11534" max="11534" width="10.09765625" style="76" customWidth="1"/>
    <col min="11535" max="11535" width="10.8984375" style="76" customWidth="1"/>
    <col min="11536" max="11536" width="10.69921875" style="76" customWidth="1"/>
    <col min="11537" max="11537" width="10.09765625" style="76" customWidth="1"/>
    <col min="11538" max="11538" width="10.8984375" style="76" customWidth="1"/>
    <col min="11539" max="11539" width="10.19921875" style="76" customWidth="1"/>
    <col min="11540" max="11543" width="11" style="76"/>
    <col min="11544" max="11544" width="23.5" style="76" customWidth="1"/>
    <col min="11545" max="11787" width="11" style="76"/>
    <col min="11788" max="11788" width="27.69921875" style="76" customWidth="1"/>
    <col min="11789" max="11789" width="10.3984375" style="76" customWidth="1"/>
    <col min="11790" max="11790" width="10.09765625" style="76" customWidth="1"/>
    <col min="11791" max="11791" width="10.8984375" style="76" customWidth="1"/>
    <col min="11792" max="11792" width="10.69921875" style="76" customWidth="1"/>
    <col min="11793" max="11793" width="10.09765625" style="76" customWidth="1"/>
    <col min="11794" max="11794" width="10.8984375" style="76" customWidth="1"/>
    <col min="11795" max="11795" width="10.19921875" style="76" customWidth="1"/>
    <col min="11796" max="11799" width="11" style="76"/>
    <col min="11800" max="11800" width="23.5" style="76" customWidth="1"/>
    <col min="11801" max="12043" width="11" style="76"/>
    <col min="12044" max="12044" width="27.69921875" style="76" customWidth="1"/>
    <col min="12045" max="12045" width="10.3984375" style="76" customWidth="1"/>
    <col min="12046" max="12046" width="10.09765625" style="76" customWidth="1"/>
    <col min="12047" max="12047" width="10.8984375" style="76" customWidth="1"/>
    <col min="12048" max="12048" width="10.69921875" style="76" customWidth="1"/>
    <col min="12049" max="12049" width="10.09765625" style="76" customWidth="1"/>
    <col min="12050" max="12050" width="10.8984375" style="76" customWidth="1"/>
    <col min="12051" max="12051" width="10.19921875" style="76" customWidth="1"/>
    <col min="12052" max="12055" width="11" style="76"/>
    <col min="12056" max="12056" width="23.5" style="76" customWidth="1"/>
    <col min="12057" max="12299" width="11" style="76"/>
    <col min="12300" max="12300" width="27.69921875" style="76" customWidth="1"/>
    <col min="12301" max="12301" width="10.3984375" style="76" customWidth="1"/>
    <col min="12302" max="12302" width="10.09765625" style="76" customWidth="1"/>
    <col min="12303" max="12303" width="10.8984375" style="76" customWidth="1"/>
    <col min="12304" max="12304" width="10.69921875" style="76" customWidth="1"/>
    <col min="12305" max="12305" width="10.09765625" style="76" customWidth="1"/>
    <col min="12306" max="12306" width="10.8984375" style="76" customWidth="1"/>
    <col min="12307" max="12307" width="10.19921875" style="76" customWidth="1"/>
    <col min="12308" max="12311" width="11" style="76"/>
    <col min="12312" max="12312" width="23.5" style="76" customWidth="1"/>
    <col min="12313" max="12555" width="11" style="76"/>
    <col min="12556" max="12556" width="27.69921875" style="76" customWidth="1"/>
    <col min="12557" max="12557" width="10.3984375" style="76" customWidth="1"/>
    <col min="12558" max="12558" width="10.09765625" style="76" customWidth="1"/>
    <col min="12559" max="12559" width="10.8984375" style="76" customWidth="1"/>
    <col min="12560" max="12560" width="10.69921875" style="76" customWidth="1"/>
    <col min="12561" max="12561" width="10.09765625" style="76" customWidth="1"/>
    <col min="12562" max="12562" width="10.8984375" style="76" customWidth="1"/>
    <col min="12563" max="12563" width="10.19921875" style="76" customWidth="1"/>
    <col min="12564" max="12567" width="11" style="76"/>
    <col min="12568" max="12568" width="23.5" style="76" customWidth="1"/>
    <col min="12569" max="12811" width="11" style="76"/>
    <col min="12812" max="12812" width="27.69921875" style="76" customWidth="1"/>
    <col min="12813" max="12813" width="10.3984375" style="76" customWidth="1"/>
    <col min="12814" max="12814" width="10.09765625" style="76" customWidth="1"/>
    <col min="12815" max="12815" width="10.8984375" style="76" customWidth="1"/>
    <col min="12816" max="12816" width="10.69921875" style="76" customWidth="1"/>
    <col min="12817" max="12817" width="10.09765625" style="76" customWidth="1"/>
    <col min="12818" max="12818" width="10.8984375" style="76" customWidth="1"/>
    <col min="12819" max="12819" width="10.19921875" style="76" customWidth="1"/>
    <col min="12820" max="12823" width="11" style="76"/>
    <col min="12824" max="12824" width="23.5" style="76" customWidth="1"/>
    <col min="12825" max="13067" width="11" style="76"/>
    <col min="13068" max="13068" width="27.69921875" style="76" customWidth="1"/>
    <col min="13069" max="13069" width="10.3984375" style="76" customWidth="1"/>
    <col min="13070" max="13070" width="10.09765625" style="76" customWidth="1"/>
    <col min="13071" max="13071" width="10.8984375" style="76" customWidth="1"/>
    <col min="13072" max="13072" width="10.69921875" style="76" customWidth="1"/>
    <col min="13073" max="13073" width="10.09765625" style="76" customWidth="1"/>
    <col min="13074" max="13074" width="10.8984375" style="76" customWidth="1"/>
    <col min="13075" max="13075" width="10.19921875" style="76" customWidth="1"/>
    <col min="13076" max="13079" width="11" style="76"/>
    <col min="13080" max="13080" width="23.5" style="76" customWidth="1"/>
    <col min="13081" max="13323" width="11" style="76"/>
    <col min="13324" max="13324" width="27.69921875" style="76" customWidth="1"/>
    <col min="13325" max="13325" width="10.3984375" style="76" customWidth="1"/>
    <col min="13326" max="13326" width="10.09765625" style="76" customWidth="1"/>
    <col min="13327" max="13327" width="10.8984375" style="76" customWidth="1"/>
    <col min="13328" max="13328" width="10.69921875" style="76" customWidth="1"/>
    <col min="13329" max="13329" width="10.09765625" style="76" customWidth="1"/>
    <col min="13330" max="13330" width="10.8984375" style="76" customWidth="1"/>
    <col min="13331" max="13331" width="10.19921875" style="76" customWidth="1"/>
    <col min="13332" max="13335" width="11" style="76"/>
    <col min="13336" max="13336" width="23.5" style="76" customWidth="1"/>
    <col min="13337" max="13579" width="11" style="76"/>
    <col min="13580" max="13580" width="27.69921875" style="76" customWidth="1"/>
    <col min="13581" max="13581" width="10.3984375" style="76" customWidth="1"/>
    <col min="13582" max="13582" width="10.09765625" style="76" customWidth="1"/>
    <col min="13583" max="13583" width="10.8984375" style="76" customWidth="1"/>
    <col min="13584" max="13584" width="10.69921875" style="76" customWidth="1"/>
    <col min="13585" max="13585" width="10.09765625" style="76" customWidth="1"/>
    <col min="13586" max="13586" width="10.8984375" style="76" customWidth="1"/>
    <col min="13587" max="13587" width="10.19921875" style="76" customWidth="1"/>
    <col min="13588" max="13591" width="11" style="76"/>
    <col min="13592" max="13592" width="23.5" style="76" customWidth="1"/>
    <col min="13593" max="13835" width="11" style="76"/>
    <col min="13836" max="13836" width="27.69921875" style="76" customWidth="1"/>
    <col min="13837" max="13837" width="10.3984375" style="76" customWidth="1"/>
    <col min="13838" max="13838" width="10.09765625" style="76" customWidth="1"/>
    <col min="13839" max="13839" width="10.8984375" style="76" customWidth="1"/>
    <col min="13840" max="13840" width="10.69921875" style="76" customWidth="1"/>
    <col min="13841" max="13841" width="10.09765625" style="76" customWidth="1"/>
    <col min="13842" max="13842" width="10.8984375" style="76" customWidth="1"/>
    <col min="13843" max="13843" width="10.19921875" style="76" customWidth="1"/>
    <col min="13844" max="13847" width="11" style="76"/>
    <col min="13848" max="13848" width="23.5" style="76" customWidth="1"/>
    <col min="13849" max="14091" width="11" style="76"/>
    <col min="14092" max="14092" width="27.69921875" style="76" customWidth="1"/>
    <col min="14093" max="14093" width="10.3984375" style="76" customWidth="1"/>
    <col min="14094" max="14094" width="10.09765625" style="76" customWidth="1"/>
    <col min="14095" max="14095" width="10.8984375" style="76" customWidth="1"/>
    <col min="14096" max="14096" width="10.69921875" style="76" customWidth="1"/>
    <col min="14097" max="14097" width="10.09765625" style="76" customWidth="1"/>
    <col min="14098" max="14098" width="10.8984375" style="76" customWidth="1"/>
    <col min="14099" max="14099" width="10.19921875" style="76" customWidth="1"/>
    <col min="14100" max="14103" width="11" style="76"/>
    <col min="14104" max="14104" width="23.5" style="76" customWidth="1"/>
    <col min="14105" max="14347" width="11" style="76"/>
    <col min="14348" max="14348" width="27.69921875" style="76" customWidth="1"/>
    <col min="14349" max="14349" width="10.3984375" style="76" customWidth="1"/>
    <col min="14350" max="14350" width="10.09765625" style="76" customWidth="1"/>
    <col min="14351" max="14351" width="10.8984375" style="76" customWidth="1"/>
    <col min="14352" max="14352" width="10.69921875" style="76" customWidth="1"/>
    <col min="14353" max="14353" width="10.09765625" style="76" customWidth="1"/>
    <col min="14354" max="14354" width="10.8984375" style="76" customWidth="1"/>
    <col min="14355" max="14355" width="10.19921875" style="76" customWidth="1"/>
    <col min="14356" max="14359" width="11" style="76"/>
    <col min="14360" max="14360" width="23.5" style="76" customWidth="1"/>
    <col min="14361" max="14603" width="11" style="76"/>
    <col min="14604" max="14604" width="27.69921875" style="76" customWidth="1"/>
    <col min="14605" max="14605" width="10.3984375" style="76" customWidth="1"/>
    <col min="14606" max="14606" width="10.09765625" style="76" customWidth="1"/>
    <col min="14607" max="14607" width="10.8984375" style="76" customWidth="1"/>
    <col min="14608" max="14608" width="10.69921875" style="76" customWidth="1"/>
    <col min="14609" max="14609" width="10.09765625" style="76" customWidth="1"/>
    <col min="14610" max="14610" width="10.8984375" style="76" customWidth="1"/>
    <col min="14611" max="14611" width="10.19921875" style="76" customWidth="1"/>
    <col min="14612" max="14615" width="11" style="76"/>
    <col min="14616" max="14616" width="23.5" style="76" customWidth="1"/>
    <col min="14617" max="14859" width="11" style="76"/>
    <col min="14860" max="14860" width="27.69921875" style="76" customWidth="1"/>
    <col min="14861" max="14861" width="10.3984375" style="76" customWidth="1"/>
    <col min="14862" max="14862" width="10.09765625" style="76" customWidth="1"/>
    <col min="14863" max="14863" width="10.8984375" style="76" customWidth="1"/>
    <col min="14864" max="14864" width="10.69921875" style="76" customWidth="1"/>
    <col min="14865" max="14865" width="10.09765625" style="76" customWidth="1"/>
    <col min="14866" max="14866" width="10.8984375" style="76" customWidth="1"/>
    <col min="14867" max="14867" width="10.19921875" style="76" customWidth="1"/>
    <col min="14868" max="14871" width="11" style="76"/>
    <col min="14872" max="14872" width="23.5" style="76" customWidth="1"/>
    <col min="14873" max="15115" width="11" style="76"/>
    <col min="15116" max="15116" width="27.69921875" style="76" customWidth="1"/>
    <col min="15117" max="15117" width="10.3984375" style="76" customWidth="1"/>
    <col min="15118" max="15118" width="10.09765625" style="76" customWidth="1"/>
    <col min="15119" max="15119" width="10.8984375" style="76" customWidth="1"/>
    <col min="15120" max="15120" width="10.69921875" style="76" customWidth="1"/>
    <col min="15121" max="15121" width="10.09765625" style="76" customWidth="1"/>
    <col min="15122" max="15122" width="10.8984375" style="76" customWidth="1"/>
    <col min="15123" max="15123" width="10.19921875" style="76" customWidth="1"/>
    <col min="15124" max="15127" width="11" style="76"/>
    <col min="15128" max="15128" width="23.5" style="76" customWidth="1"/>
    <col min="15129" max="15371" width="11" style="76"/>
    <col min="15372" max="15372" width="27.69921875" style="76" customWidth="1"/>
    <col min="15373" max="15373" width="10.3984375" style="76" customWidth="1"/>
    <col min="15374" max="15374" width="10.09765625" style="76" customWidth="1"/>
    <col min="15375" max="15375" width="10.8984375" style="76" customWidth="1"/>
    <col min="15376" max="15376" width="10.69921875" style="76" customWidth="1"/>
    <col min="15377" max="15377" width="10.09765625" style="76" customWidth="1"/>
    <col min="15378" max="15378" width="10.8984375" style="76" customWidth="1"/>
    <col min="15379" max="15379" width="10.19921875" style="76" customWidth="1"/>
    <col min="15380" max="15383" width="11" style="76"/>
    <col min="15384" max="15384" width="23.5" style="76" customWidth="1"/>
    <col min="15385" max="15627" width="11" style="76"/>
    <col min="15628" max="15628" width="27.69921875" style="76" customWidth="1"/>
    <col min="15629" max="15629" width="10.3984375" style="76" customWidth="1"/>
    <col min="15630" max="15630" width="10.09765625" style="76" customWidth="1"/>
    <col min="15631" max="15631" width="10.8984375" style="76" customWidth="1"/>
    <col min="15632" max="15632" width="10.69921875" style="76" customWidth="1"/>
    <col min="15633" max="15633" width="10.09765625" style="76" customWidth="1"/>
    <col min="15634" max="15634" width="10.8984375" style="76" customWidth="1"/>
    <col min="15635" max="15635" width="10.19921875" style="76" customWidth="1"/>
    <col min="15636" max="15639" width="11" style="76"/>
    <col min="15640" max="15640" width="23.5" style="76" customWidth="1"/>
    <col min="15641" max="15883" width="11" style="76"/>
    <col min="15884" max="15884" width="27.69921875" style="76" customWidth="1"/>
    <col min="15885" max="15885" width="10.3984375" style="76" customWidth="1"/>
    <col min="15886" max="15886" width="10.09765625" style="76" customWidth="1"/>
    <col min="15887" max="15887" width="10.8984375" style="76" customWidth="1"/>
    <col min="15888" max="15888" width="10.69921875" style="76" customWidth="1"/>
    <col min="15889" max="15889" width="10.09765625" style="76" customWidth="1"/>
    <col min="15890" max="15890" width="10.8984375" style="76" customWidth="1"/>
    <col min="15891" max="15891" width="10.19921875" style="76" customWidth="1"/>
    <col min="15892" max="15895" width="11" style="76"/>
    <col min="15896" max="15896" width="23.5" style="76" customWidth="1"/>
    <col min="15897" max="16139" width="11" style="76"/>
    <col min="16140" max="16140" width="27.69921875" style="76" customWidth="1"/>
    <col min="16141" max="16141" width="10.3984375" style="76" customWidth="1"/>
    <col min="16142" max="16142" width="10.09765625" style="76" customWidth="1"/>
    <col min="16143" max="16143" width="10.8984375" style="76" customWidth="1"/>
    <col min="16144" max="16144" width="10.69921875" style="76" customWidth="1"/>
    <col min="16145" max="16145" width="10.09765625" style="76" customWidth="1"/>
    <col min="16146" max="16146" width="10.8984375" style="76" customWidth="1"/>
    <col min="16147" max="16147" width="10.19921875" style="76" customWidth="1"/>
    <col min="16148" max="16151" width="11" style="76"/>
    <col min="16152" max="16152" width="23.5" style="76" customWidth="1"/>
    <col min="16153" max="16384" width="11" style="76"/>
  </cols>
  <sheetData>
    <row r="1" spans="2:26" ht="24.9" customHeight="1" x14ac:dyDescent="0.3"/>
    <row r="2" spans="2:26" s="73" customFormat="1" ht="24.9" customHeight="1" x14ac:dyDescent="0.3">
      <c r="B2" s="260" t="s">
        <v>119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</row>
    <row r="3" spans="2:26" s="144" customFormat="1" ht="15.75" customHeight="1" x14ac:dyDescent="0.3"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</row>
    <row r="4" spans="2:26" s="144" customFormat="1" ht="15.75" customHeight="1" x14ac:dyDescent="0.3">
      <c r="B4" s="146" t="s">
        <v>21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</row>
    <row r="5" spans="2:26" s="144" customFormat="1" ht="15.75" customHeight="1" x14ac:dyDescent="0.3"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</row>
    <row r="6" spans="2:26" ht="24.9" customHeight="1" x14ac:dyDescent="0.3">
      <c r="C6" s="260" t="s">
        <v>8</v>
      </c>
      <c r="D6" s="260"/>
      <c r="E6" s="260"/>
      <c r="F6" s="260"/>
      <c r="G6" s="260"/>
      <c r="H6" s="260"/>
      <c r="I6" s="260"/>
      <c r="J6" s="73"/>
      <c r="K6" s="260" t="s">
        <v>9</v>
      </c>
      <c r="L6" s="260"/>
      <c r="M6" s="260"/>
      <c r="N6" s="260"/>
      <c r="O6" s="260"/>
      <c r="P6" s="260"/>
      <c r="Q6" s="260"/>
      <c r="R6" s="73"/>
      <c r="S6" s="260" t="s">
        <v>112</v>
      </c>
      <c r="T6" s="265"/>
      <c r="U6" s="265"/>
      <c r="V6" s="265"/>
      <c r="W6" s="265"/>
    </row>
    <row r="7" spans="2:26" s="135" customFormat="1" ht="15.75" customHeight="1" x14ac:dyDescent="0.3">
      <c r="C7" s="142"/>
      <c r="D7" s="142"/>
      <c r="E7" s="142"/>
      <c r="F7" s="142"/>
      <c r="G7" s="142"/>
      <c r="H7" s="142"/>
      <c r="I7" s="142"/>
      <c r="K7" s="142"/>
      <c r="L7" s="142"/>
      <c r="M7" s="142"/>
      <c r="N7" s="142"/>
      <c r="O7" s="142"/>
      <c r="P7" s="142"/>
      <c r="Q7" s="142"/>
      <c r="S7" s="142"/>
      <c r="T7" s="143"/>
      <c r="U7" s="143"/>
      <c r="V7" s="143"/>
      <c r="W7" s="143"/>
    </row>
    <row r="8" spans="2:26" x14ac:dyDescent="0.3">
      <c r="B8" s="134"/>
      <c r="C8" s="264">
        <v>2016</v>
      </c>
      <c r="D8" s="264"/>
      <c r="E8" s="264"/>
      <c r="F8" s="133"/>
      <c r="G8" s="264">
        <v>2015</v>
      </c>
      <c r="H8" s="264"/>
      <c r="I8" s="264"/>
      <c r="J8" s="133"/>
      <c r="K8" s="264">
        <v>2016</v>
      </c>
      <c r="L8" s="264"/>
      <c r="M8" s="264"/>
      <c r="N8" s="133"/>
      <c r="O8" s="264">
        <v>2015</v>
      </c>
      <c r="P8" s="264"/>
      <c r="Q8" s="264"/>
      <c r="R8" s="131"/>
      <c r="S8" s="264">
        <v>2016</v>
      </c>
      <c r="T8" s="264"/>
      <c r="U8" s="81"/>
      <c r="V8" s="264">
        <v>2015</v>
      </c>
      <c r="W8" s="264"/>
    </row>
    <row r="9" spans="2:26" ht="46.8" x14ac:dyDescent="0.3">
      <c r="B9" s="134"/>
      <c r="C9" s="139" t="s">
        <v>10</v>
      </c>
      <c r="D9" s="140" t="s">
        <v>113</v>
      </c>
      <c r="E9" s="140" t="s">
        <v>109</v>
      </c>
      <c r="F9" s="132"/>
      <c r="G9" s="139" t="s">
        <v>10</v>
      </c>
      <c r="H9" s="140" t="s">
        <v>113</v>
      </c>
      <c r="I9" s="140" t="s">
        <v>109</v>
      </c>
      <c r="J9" s="131"/>
      <c r="K9" s="139" t="s">
        <v>10</v>
      </c>
      <c r="L9" s="140" t="s">
        <v>113</v>
      </c>
      <c r="M9" s="140" t="s">
        <v>111</v>
      </c>
      <c r="N9" s="132"/>
      <c r="O9" s="139" t="s">
        <v>10</v>
      </c>
      <c r="P9" s="140" t="s">
        <v>113</v>
      </c>
      <c r="Q9" s="140" t="s">
        <v>111</v>
      </c>
      <c r="R9" s="130"/>
      <c r="S9" s="141" t="s">
        <v>10</v>
      </c>
      <c r="T9" s="118" t="s">
        <v>113</v>
      </c>
      <c r="U9" s="147"/>
      <c r="V9" s="141" t="s">
        <v>10</v>
      </c>
      <c r="W9" s="118" t="s">
        <v>113</v>
      </c>
      <c r="X9" s="136"/>
      <c r="Y9" s="137"/>
    </row>
    <row r="10" spans="2:26" x14ac:dyDescent="0.3">
      <c r="B10" s="134"/>
      <c r="C10" s="133"/>
      <c r="D10" s="130"/>
      <c r="E10" s="132"/>
      <c r="F10" s="132"/>
      <c r="G10" s="131"/>
      <c r="H10" s="131"/>
      <c r="I10" s="131"/>
      <c r="J10" s="131"/>
      <c r="K10" s="131"/>
      <c r="L10" s="131"/>
      <c r="M10" s="131"/>
      <c r="N10" s="131"/>
      <c r="O10" s="130"/>
      <c r="P10" s="130"/>
      <c r="Q10" s="130"/>
      <c r="R10" s="130"/>
      <c r="S10" s="130"/>
      <c r="T10" s="130"/>
      <c r="X10" s="136"/>
      <c r="Y10" s="137"/>
    </row>
    <row r="11" spans="2:26" x14ac:dyDescent="0.3">
      <c r="B11" s="138" t="s">
        <v>33</v>
      </c>
      <c r="C11" s="151">
        <v>23.95</v>
      </c>
      <c r="D11" s="15">
        <v>21.75</v>
      </c>
      <c r="E11" s="148">
        <f>(D11/'Resultados divisiones'!C11)*100</f>
        <v>5.5899663316970365</v>
      </c>
      <c r="F11" s="148"/>
      <c r="G11" s="15">
        <v>23.96</v>
      </c>
      <c r="H11" s="15">
        <v>21.619999999999997</v>
      </c>
      <c r="I11" s="148">
        <f>(H11/'Resultados divisiones'!D11)*100</f>
        <v>5.6139804211783639</v>
      </c>
      <c r="J11" s="149"/>
      <c r="K11" s="15">
        <v>20.67</v>
      </c>
      <c r="L11" s="15">
        <v>18.690000000000001</v>
      </c>
      <c r="M11" s="15">
        <f>(L11/228.46)*100</f>
        <v>8.1808631707957638</v>
      </c>
      <c r="N11" s="15"/>
      <c r="O11" s="15">
        <v>18.45</v>
      </c>
      <c r="P11" s="15">
        <v>16.689999999999998</v>
      </c>
      <c r="Q11" s="231">
        <f>(P11/250.32)*100</f>
        <v>6.6674656439757101</v>
      </c>
      <c r="R11" s="150"/>
      <c r="S11" s="79">
        <v>3.2799999999999976</v>
      </c>
      <c r="T11" s="79">
        <v>3.0599999999999987</v>
      </c>
      <c r="U11" s="150"/>
      <c r="V11" s="79">
        <v>5.5100000000000016</v>
      </c>
      <c r="W11" s="79">
        <v>4.93</v>
      </c>
      <c r="X11" s="136"/>
      <c r="Y11" s="136"/>
      <c r="Z11" s="137"/>
    </row>
    <row r="12" spans="2:26" x14ac:dyDescent="0.3">
      <c r="B12" s="138" t="s">
        <v>19</v>
      </c>
      <c r="C12" s="15">
        <v>36.53</v>
      </c>
      <c r="D12" s="15">
        <v>33.049999999999997</v>
      </c>
      <c r="E12" s="148">
        <f>(D12/'Resultados divisiones'!G11)*100</f>
        <v>20.58035992278473</v>
      </c>
      <c r="F12" s="148"/>
      <c r="G12" s="15">
        <v>46.21</v>
      </c>
      <c r="H12" s="15">
        <v>41.72</v>
      </c>
      <c r="I12" s="148">
        <f>(H12/'Resultados divisiones'!H11)*100</f>
        <v>22.633320674876579</v>
      </c>
      <c r="J12" s="149"/>
      <c r="K12" s="15">
        <v>18.920000000000002</v>
      </c>
      <c r="L12" s="15">
        <v>17.059999999999999</v>
      </c>
      <c r="M12" s="15">
        <f>(L12/119.95)*100</f>
        <v>14.222592746977906</v>
      </c>
      <c r="N12" s="15"/>
      <c r="O12" s="15">
        <v>4.49</v>
      </c>
      <c r="P12" s="15">
        <v>4.07</v>
      </c>
      <c r="Q12" s="231">
        <f>(P12/133.48)*100</f>
        <v>3.049145939466587</v>
      </c>
      <c r="R12" s="150"/>
      <c r="S12" s="79">
        <v>17.61</v>
      </c>
      <c r="T12" s="79">
        <v>15.989999999999998</v>
      </c>
      <c r="U12" s="150"/>
      <c r="V12" s="79">
        <v>41.72</v>
      </c>
      <c r="W12" s="79">
        <v>37.65</v>
      </c>
      <c r="X12" s="136"/>
      <c r="Y12" s="137"/>
    </row>
    <row r="13" spans="2:26" x14ac:dyDescent="0.3">
      <c r="B13" s="134" t="s">
        <v>20</v>
      </c>
      <c r="C13" s="15">
        <v>25.5</v>
      </c>
      <c r="D13" s="15">
        <v>23.05</v>
      </c>
      <c r="E13" s="148">
        <f>(D13/'Resultados divisiones'!K11)*100</f>
        <v>43.6057510404843</v>
      </c>
      <c r="F13" s="148"/>
      <c r="G13" s="15">
        <v>24.21</v>
      </c>
      <c r="H13" s="15">
        <v>21.9</v>
      </c>
      <c r="I13" s="148">
        <f>(H13/'Resultados divisiones'!L11)*100</f>
        <v>44.849477780053242</v>
      </c>
      <c r="J13" s="149"/>
      <c r="K13" s="15">
        <v>13.02</v>
      </c>
      <c r="L13" s="15">
        <v>11.74</v>
      </c>
      <c r="M13" s="15">
        <f>(L13/23.66)*100</f>
        <v>49.619611158072694</v>
      </c>
      <c r="N13" s="15"/>
      <c r="O13" s="15">
        <v>12.16</v>
      </c>
      <c r="P13" s="15">
        <v>10.94</v>
      </c>
      <c r="Q13" s="231">
        <f>(P13/19.83)*100</f>
        <v>55.1689359556228</v>
      </c>
      <c r="R13" s="150"/>
      <c r="S13" s="79">
        <v>12.48</v>
      </c>
      <c r="T13" s="79">
        <v>11.31</v>
      </c>
      <c r="U13" s="150"/>
      <c r="V13" s="79">
        <v>12.05</v>
      </c>
      <c r="W13" s="79">
        <v>10.959999999999999</v>
      </c>
      <c r="X13" s="136"/>
    </row>
    <row r="14" spans="2:26" x14ac:dyDescent="0.3">
      <c r="B14" s="134"/>
      <c r="C14" s="15"/>
      <c r="D14" s="15"/>
      <c r="E14" s="148"/>
      <c r="F14" s="148"/>
      <c r="G14" s="150"/>
      <c r="H14" s="150"/>
      <c r="I14" s="148"/>
      <c r="J14" s="149"/>
      <c r="K14" s="15"/>
      <c r="L14" s="15"/>
      <c r="M14" s="15"/>
      <c r="N14" s="15"/>
      <c r="O14" s="150"/>
      <c r="P14" s="150"/>
      <c r="Q14" s="150"/>
      <c r="R14" s="150"/>
      <c r="S14" s="79"/>
      <c r="T14" s="79"/>
      <c r="U14" s="150"/>
      <c r="V14" s="150"/>
      <c r="W14" s="150"/>
      <c r="X14" s="136"/>
    </row>
    <row r="15" spans="2:26" ht="17.399999999999999" x14ac:dyDescent="0.3">
      <c r="B15" s="167" t="s">
        <v>110</v>
      </c>
      <c r="C15" s="168">
        <v>85.98</v>
      </c>
      <c r="D15" s="168">
        <v>77.849999999999994</v>
      </c>
      <c r="E15" s="169">
        <f>(D15/'Resultados divisiones'!O11)*100</f>
        <v>12.9203040462044</v>
      </c>
      <c r="F15" s="169"/>
      <c r="G15" s="168">
        <v>94.38</v>
      </c>
      <c r="H15" s="168">
        <v>85.24</v>
      </c>
      <c r="I15" s="169">
        <f>(H15/'Resultados divisiones'!P11)*100</f>
        <v>13.786856874828146</v>
      </c>
      <c r="J15" s="170"/>
      <c r="K15" s="168">
        <v>52.61</v>
      </c>
      <c r="L15" s="168">
        <v>47.49</v>
      </c>
      <c r="M15" s="169">
        <f>(L15/372.07)*100</f>
        <v>12.763727255623941</v>
      </c>
      <c r="N15" s="170"/>
      <c r="O15" s="168">
        <v>35.099999999999994</v>
      </c>
      <c r="P15" s="168">
        <v>31.699999999999996</v>
      </c>
      <c r="Q15" s="230">
        <f>(P15/403.63)*100</f>
        <v>7.8537274236305521</v>
      </c>
      <c r="R15" s="171"/>
      <c r="S15" s="172">
        <v>33.370000000000005</v>
      </c>
      <c r="T15" s="172">
        <v>30.359999999999992</v>
      </c>
      <c r="U15" s="171"/>
      <c r="V15" s="172">
        <v>59.28</v>
      </c>
      <c r="W15" s="172">
        <v>53.54</v>
      </c>
    </row>
  </sheetData>
  <mergeCells count="10">
    <mergeCell ref="B2:W2"/>
    <mergeCell ref="S8:T8"/>
    <mergeCell ref="V8:W8"/>
    <mergeCell ref="C6:I6"/>
    <mergeCell ref="K8:M8"/>
    <mergeCell ref="O8:Q8"/>
    <mergeCell ref="K6:Q6"/>
    <mergeCell ref="S6:W6"/>
    <mergeCell ref="C8:E8"/>
    <mergeCell ref="G8:I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6"/>
  <sheetViews>
    <sheetView showGridLines="0" workbookViewId="0">
      <selection activeCell="F14" sqref="F14"/>
    </sheetView>
  </sheetViews>
  <sheetFormatPr baseColWidth="10" defaultRowHeight="15.6" x14ac:dyDescent="0.3"/>
  <cols>
    <col min="1" max="1" width="5.59765625" customWidth="1"/>
    <col min="2" max="2" width="36.59765625" customWidth="1"/>
    <col min="3" max="6" width="10.59765625" customWidth="1"/>
    <col min="7" max="7" width="7.59765625" customWidth="1"/>
    <col min="8" max="8" width="6.69921875" customWidth="1"/>
    <col min="9" max="9" width="7.3984375" customWidth="1"/>
    <col min="10" max="10" width="7.5" customWidth="1"/>
    <col min="11" max="11" width="7.09765625" customWidth="1"/>
    <col min="12" max="12" width="6.09765625" customWidth="1"/>
    <col min="253" max="253" width="13.8984375" customWidth="1"/>
    <col min="261" max="261" width="5.19921875" customWidth="1"/>
    <col min="262" max="263" width="7.59765625" customWidth="1"/>
    <col min="264" max="264" width="6.69921875" customWidth="1"/>
    <col min="265" max="265" width="7.3984375" customWidth="1"/>
    <col min="266" max="266" width="7.5" customWidth="1"/>
    <col min="267" max="267" width="7.09765625" customWidth="1"/>
    <col min="268" max="268" width="6.09765625" customWidth="1"/>
    <col min="509" max="509" width="13.8984375" customWidth="1"/>
    <col min="517" max="517" width="5.19921875" customWidth="1"/>
    <col min="518" max="519" width="7.59765625" customWidth="1"/>
    <col min="520" max="520" width="6.69921875" customWidth="1"/>
    <col min="521" max="521" width="7.3984375" customWidth="1"/>
    <col min="522" max="522" width="7.5" customWidth="1"/>
    <col min="523" max="523" width="7.09765625" customWidth="1"/>
    <col min="524" max="524" width="6.09765625" customWidth="1"/>
    <col min="765" max="765" width="13.8984375" customWidth="1"/>
    <col min="773" max="773" width="5.19921875" customWidth="1"/>
    <col min="774" max="775" width="7.59765625" customWidth="1"/>
    <col min="776" max="776" width="6.69921875" customWidth="1"/>
    <col min="777" max="777" width="7.3984375" customWidth="1"/>
    <col min="778" max="778" width="7.5" customWidth="1"/>
    <col min="779" max="779" width="7.09765625" customWidth="1"/>
    <col min="780" max="780" width="6.09765625" customWidth="1"/>
    <col min="1021" max="1021" width="13.8984375" customWidth="1"/>
    <col min="1029" max="1029" width="5.19921875" customWidth="1"/>
    <col min="1030" max="1031" width="7.59765625" customWidth="1"/>
    <col min="1032" max="1032" width="6.69921875" customWidth="1"/>
    <col min="1033" max="1033" width="7.3984375" customWidth="1"/>
    <col min="1034" max="1034" width="7.5" customWidth="1"/>
    <col min="1035" max="1035" width="7.09765625" customWidth="1"/>
    <col min="1036" max="1036" width="6.09765625" customWidth="1"/>
    <col min="1277" max="1277" width="13.8984375" customWidth="1"/>
    <col min="1285" max="1285" width="5.19921875" customWidth="1"/>
    <col min="1286" max="1287" width="7.59765625" customWidth="1"/>
    <col min="1288" max="1288" width="6.69921875" customWidth="1"/>
    <col min="1289" max="1289" width="7.3984375" customWidth="1"/>
    <col min="1290" max="1290" width="7.5" customWidth="1"/>
    <col min="1291" max="1291" width="7.09765625" customWidth="1"/>
    <col min="1292" max="1292" width="6.09765625" customWidth="1"/>
    <col min="1533" max="1533" width="13.8984375" customWidth="1"/>
    <col min="1541" max="1541" width="5.19921875" customWidth="1"/>
    <col min="1542" max="1543" width="7.59765625" customWidth="1"/>
    <col min="1544" max="1544" width="6.69921875" customWidth="1"/>
    <col min="1545" max="1545" width="7.3984375" customWidth="1"/>
    <col min="1546" max="1546" width="7.5" customWidth="1"/>
    <col min="1547" max="1547" width="7.09765625" customWidth="1"/>
    <col min="1548" max="1548" width="6.09765625" customWidth="1"/>
    <col min="1789" max="1789" width="13.8984375" customWidth="1"/>
    <col min="1797" max="1797" width="5.19921875" customWidth="1"/>
    <col min="1798" max="1799" width="7.59765625" customWidth="1"/>
    <col min="1800" max="1800" width="6.69921875" customWidth="1"/>
    <col min="1801" max="1801" width="7.3984375" customWidth="1"/>
    <col min="1802" max="1802" width="7.5" customWidth="1"/>
    <col min="1803" max="1803" width="7.09765625" customWidth="1"/>
    <col min="1804" max="1804" width="6.09765625" customWidth="1"/>
    <col min="2045" max="2045" width="13.8984375" customWidth="1"/>
    <col min="2053" max="2053" width="5.19921875" customWidth="1"/>
    <col min="2054" max="2055" width="7.59765625" customWidth="1"/>
    <col min="2056" max="2056" width="6.69921875" customWidth="1"/>
    <col min="2057" max="2057" width="7.3984375" customWidth="1"/>
    <col min="2058" max="2058" width="7.5" customWidth="1"/>
    <col min="2059" max="2059" width="7.09765625" customWidth="1"/>
    <col min="2060" max="2060" width="6.09765625" customWidth="1"/>
    <col min="2301" max="2301" width="13.8984375" customWidth="1"/>
    <col min="2309" max="2309" width="5.19921875" customWidth="1"/>
    <col min="2310" max="2311" width="7.59765625" customWidth="1"/>
    <col min="2312" max="2312" width="6.69921875" customWidth="1"/>
    <col min="2313" max="2313" width="7.3984375" customWidth="1"/>
    <col min="2314" max="2314" width="7.5" customWidth="1"/>
    <col min="2315" max="2315" width="7.09765625" customWidth="1"/>
    <col min="2316" max="2316" width="6.09765625" customWidth="1"/>
    <col min="2557" max="2557" width="13.8984375" customWidth="1"/>
    <col min="2565" max="2565" width="5.19921875" customWidth="1"/>
    <col min="2566" max="2567" width="7.59765625" customWidth="1"/>
    <col min="2568" max="2568" width="6.69921875" customWidth="1"/>
    <col min="2569" max="2569" width="7.3984375" customWidth="1"/>
    <col min="2570" max="2570" width="7.5" customWidth="1"/>
    <col min="2571" max="2571" width="7.09765625" customWidth="1"/>
    <col min="2572" max="2572" width="6.09765625" customWidth="1"/>
    <col min="2813" max="2813" width="13.8984375" customWidth="1"/>
    <col min="2821" max="2821" width="5.19921875" customWidth="1"/>
    <col min="2822" max="2823" width="7.59765625" customWidth="1"/>
    <col min="2824" max="2824" width="6.69921875" customWidth="1"/>
    <col min="2825" max="2825" width="7.3984375" customWidth="1"/>
    <col min="2826" max="2826" width="7.5" customWidth="1"/>
    <col min="2827" max="2827" width="7.09765625" customWidth="1"/>
    <col min="2828" max="2828" width="6.09765625" customWidth="1"/>
    <col min="3069" max="3069" width="13.8984375" customWidth="1"/>
    <col min="3077" max="3077" width="5.19921875" customWidth="1"/>
    <col min="3078" max="3079" width="7.59765625" customWidth="1"/>
    <col min="3080" max="3080" width="6.69921875" customWidth="1"/>
    <col min="3081" max="3081" width="7.3984375" customWidth="1"/>
    <col min="3082" max="3082" width="7.5" customWidth="1"/>
    <col min="3083" max="3083" width="7.09765625" customWidth="1"/>
    <col min="3084" max="3084" width="6.09765625" customWidth="1"/>
    <col min="3325" max="3325" width="13.8984375" customWidth="1"/>
    <col min="3333" max="3333" width="5.19921875" customWidth="1"/>
    <col min="3334" max="3335" width="7.59765625" customWidth="1"/>
    <col min="3336" max="3336" width="6.69921875" customWidth="1"/>
    <col min="3337" max="3337" width="7.3984375" customWidth="1"/>
    <col min="3338" max="3338" width="7.5" customWidth="1"/>
    <col min="3339" max="3339" width="7.09765625" customWidth="1"/>
    <col min="3340" max="3340" width="6.09765625" customWidth="1"/>
    <col min="3581" max="3581" width="13.8984375" customWidth="1"/>
    <col min="3589" max="3589" width="5.19921875" customWidth="1"/>
    <col min="3590" max="3591" width="7.59765625" customWidth="1"/>
    <col min="3592" max="3592" width="6.69921875" customWidth="1"/>
    <col min="3593" max="3593" width="7.3984375" customWidth="1"/>
    <col min="3594" max="3594" width="7.5" customWidth="1"/>
    <col min="3595" max="3595" width="7.09765625" customWidth="1"/>
    <col min="3596" max="3596" width="6.09765625" customWidth="1"/>
    <col min="3837" max="3837" width="13.8984375" customWidth="1"/>
    <col min="3845" max="3845" width="5.19921875" customWidth="1"/>
    <col min="3846" max="3847" width="7.59765625" customWidth="1"/>
    <col min="3848" max="3848" width="6.69921875" customWidth="1"/>
    <col min="3849" max="3849" width="7.3984375" customWidth="1"/>
    <col min="3850" max="3850" width="7.5" customWidth="1"/>
    <col min="3851" max="3851" width="7.09765625" customWidth="1"/>
    <col min="3852" max="3852" width="6.09765625" customWidth="1"/>
    <col min="4093" max="4093" width="13.8984375" customWidth="1"/>
    <col min="4101" max="4101" width="5.19921875" customWidth="1"/>
    <col min="4102" max="4103" width="7.59765625" customWidth="1"/>
    <col min="4104" max="4104" width="6.69921875" customWidth="1"/>
    <col min="4105" max="4105" width="7.3984375" customWidth="1"/>
    <col min="4106" max="4106" width="7.5" customWidth="1"/>
    <col min="4107" max="4107" width="7.09765625" customWidth="1"/>
    <col min="4108" max="4108" width="6.09765625" customWidth="1"/>
    <col min="4349" max="4349" width="13.8984375" customWidth="1"/>
    <col min="4357" max="4357" width="5.19921875" customWidth="1"/>
    <col min="4358" max="4359" width="7.59765625" customWidth="1"/>
    <col min="4360" max="4360" width="6.69921875" customWidth="1"/>
    <col min="4361" max="4361" width="7.3984375" customWidth="1"/>
    <col min="4362" max="4362" width="7.5" customWidth="1"/>
    <col min="4363" max="4363" width="7.09765625" customWidth="1"/>
    <col min="4364" max="4364" width="6.09765625" customWidth="1"/>
    <col min="4605" max="4605" width="13.8984375" customWidth="1"/>
    <col min="4613" max="4613" width="5.19921875" customWidth="1"/>
    <col min="4614" max="4615" width="7.59765625" customWidth="1"/>
    <col min="4616" max="4616" width="6.69921875" customWidth="1"/>
    <col min="4617" max="4617" width="7.3984375" customWidth="1"/>
    <col min="4618" max="4618" width="7.5" customWidth="1"/>
    <col min="4619" max="4619" width="7.09765625" customWidth="1"/>
    <col min="4620" max="4620" width="6.09765625" customWidth="1"/>
    <col min="4861" max="4861" width="13.8984375" customWidth="1"/>
    <col min="4869" max="4869" width="5.19921875" customWidth="1"/>
    <col min="4870" max="4871" width="7.59765625" customWidth="1"/>
    <col min="4872" max="4872" width="6.69921875" customWidth="1"/>
    <col min="4873" max="4873" width="7.3984375" customWidth="1"/>
    <col min="4874" max="4874" width="7.5" customWidth="1"/>
    <col min="4875" max="4875" width="7.09765625" customWidth="1"/>
    <col min="4876" max="4876" width="6.09765625" customWidth="1"/>
    <col min="5117" max="5117" width="13.8984375" customWidth="1"/>
    <col min="5125" max="5125" width="5.19921875" customWidth="1"/>
    <col min="5126" max="5127" width="7.59765625" customWidth="1"/>
    <col min="5128" max="5128" width="6.69921875" customWidth="1"/>
    <col min="5129" max="5129" width="7.3984375" customWidth="1"/>
    <col min="5130" max="5130" width="7.5" customWidth="1"/>
    <col min="5131" max="5131" width="7.09765625" customWidth="1"/>
    <col min="5132" max="5132" width="6.09765625" customWidth="1"/>
    <col min="5373" max="5373" width="13.8984375" customWidth="1"/>
    <col min="5381" max="5381" width="5.19921875" customWidth="1"/>
    <col min="5382" max="5383" width="7.59765625" customWidth="1"/>
    <col min="5384" max="5384" width="6.69921875" customWidth="1"/>
    <col min="5385" max="5385" width="7.3984375" customWidth="1"/>
    <col min="5386" max="5386" width="7.5" customWidth="1"/>
    <col min="5387" max="5387" width="7.09765625" customWidth="1"/>
    <col min="5388" max="5388" width="6.09765625" customWidth="1"/>
    <col min="5629" max="5629" width="13.8984375" customWidth="1"/>
    <col min="5637" max="5637" width="5.19921875" customWidth="1"/>
    <col min="5638" max="5639" width="7.59765625" customWidth="1"/>
    <col min="5640" max="5640" width="6.69921875" customWidth="1"/>
    <col min="5641" max="5641" width="7.3984375" customWidth="1"/>
    <col min="5642" max="5642" width="7.5" customWidth="1"/>
    <col min="5643" max="5643" width="7.09765625" customWidth="1"/>
    <col min="5644" max="5644" width="6.09765625" customWidth="1"/>
    <col min="5885" max="5885" width="13.8984375" customWidth="1"/>
    <col min="5893" max="5893" width="5.19921875" customWidth="1"/>
    <col min="5894" max="5895" width="7.59765625" customWidth="1"/>
    <col min="5896" max="5896" width="6.69921875" customWidth="1"/>
    <col min="5897" max="5897" width="7.3984375" customWidth="1"/>
    <col min="5898" max="5898" width="7.5" customWidth="1"/>
    <col min="5899" max="5899" width="7.09765625" customWidth="1"/>
    <col min="5900" max="5900" width="6.09765625" customWidth="1"/>
    <col min="6141" max="6141" width="13.8984375" customWidth="1"/>
    <col min="6149" max="6149" width="5.19921875" customWidth="1"/>
    <col min="6150" max="6151" width="7.59765625" customWidth="1"/>
    <col min="6152" max="6152" width="6.69921875" customWidth="1"/>
    <col min="6153" max="6153" width="7.3984375" customWidth="1"/>
    <col min="6154" max="6154" width="7.5" customWidth="1"/>
    <col min="6155" max="6155" width="7.09765625" customWidth="1"/>
    <col min="6156" max="6156" width="6.09765625" customWidth="1"/>
    <col min="6397" max="6397" width="13.8984375" customWidth="1"/>
    <col min="6405" max="6405" width="5.19921875" customWidth="1"/>
    <col min="6406" max="6407" width="7.59765625" customWidth="1"/>
    <col min="6408" max="6408" width="6.69921875" customWidth="1"/>
    <col min="6409" max="6409" width="7.3984375" customWidth="1"/>
    <col min="6410" max="6410" width="7.5" customWidth="1"/>
    <col min="6411" max="6411" width="7.09765625" customWidth="1"/>
    <col min="6412" max="6412" width="6.09765625" customWidth="1"/>
    <col min="6653" max="6653" width="13.8984375" customWidth="1"/>
    <col min="6661" max="6661" width="5.19921875" customWidth="1"/>
    <col min="6662" max="6663" width="7.59765625" customWidth="1"/>
    <col min="6664" max="6664" width="6.69921875" customWidth="1"/>
    <col min="6665" max="6665" width="7.3984375" customWidth="1"/>
    <col min="6666" max="6666" width="7.5" customWidth="1"/>
    <col min="6667" max="6667" width="7.09765625" customWidth="1"/>
    <col min="6668" max="6668" width="6.09765625" customWidth="1"/>
    <col min="6909" max="6909" width="13.8984375" customWidth="1"/>
    <col min="6917" max="6917" width="5.19921875" customWidth="1"/>
    <col min="6918" max="6919" width="7.59765625" customWidth="1"/>
    <col min="6920" max="6920" width="6.69921875" customWidth="1"/>
    <col min="6921" max="6921" width="7.3984375" customWidth="1"/>
    <col min="6922" max="6922" width="7.5" customWidth="1"/>
    <col min="6923" max="6923" width="7.09765625" customWidth="1"/>
    <col min="6924" max="6924" width="6.09765625" customWidth="1"/>
    <col min="7165" max="7165" width="13.8984375" customWidth="1"/>
    <col min="7173" max="7173" width="5.19921875" customWidth="1"/>
    <col min="7174" max="7175" width="7.59765625" customWidth="1"/>
    <col min="7176" max="7176" width="6.69921875" customWidth="1"/>
    <col min="7177" max="7177" width="7.3984375" customWidth="1"/>
    <col min="7178" max="7178" width="7.5" customWidth="1"/>
    <col min="7179" max="7179" width="7.09765625" customWidth="1"/>
    <col min="7180" max="7180" width="6.09765625" customWidth="1"/>
    <col min="7421" max="7421" width="13.8984375" customWidth="1"/>
    <col min="7429" max="7429" width="5.19921875" customWidth="1"/>
    <col min="7430" max="7431" width="7.59765625" customWidth="1"/>
    <col min="7432" max="7432" width="6.69921875" customWidth="1"/>
    <col min="7433" max="7433" width="7.3984375" customWidth="1"/>
    <col min="7434" max="7434" width="7.5" customWidth="1"/>
    <col min="7435" max="7435" width="7.09765625" customWidth="1"/>
    <col min="7436" max="7436" width="6.09765625" customWidth="1"/>
    <col min="7677" max="7677" width="13.8984375" customWidth="1"/>
    <col min="7685" max="7685" width="5.19921875" customWidth="1"/>
    <col min="7686" max="7687" width="7.59765625" customWidth="1"/>
    <col min="7688" max="7688" width="6.69921875" customWidth="1"/>
    <col min="7689" max="7689" width="7.3984375" customWidth="1"/>
    <col min="7690" max="7690" width="7.5" customWidth="1"/>
    <col min="7691" max="7691" width="7.09765625" customWidth="1"/>
    <col min="7692" max="7692" width="6.09765625" customWidth="1"/>
    <col min="7933" max="7933" width="13.8984375" customWidth="1"/>
    <col min="7941" max="7941" width="5.19921875" customWidth="1"/>
    <col min="7942" max="7943" width="7.59765625" customWidth="1"/>
    <col min="7944" max="7944" width="6.69921875" customWidth="1"/>
    <col min="7945" max="7945" width="7.3984375" customWidth="1"/>
    <col min="7946" max="7946" width="7.5" customWidth="1"/>
    <col min="7947" max="7947" width="7.09765625" customWidth="1"/>
    <col min="7948" max="7948" width="6.09765625" customWidth="1"/>
    <col min="8189" max="8189" width="13.8984375" customWidth="1"/>
    <col min="8197" max="8197" width="5.19921875" customWidth="1"/>
    <col min="8198" max="8199" width="7.59765625" customWidth="1"/>
    <col min="8200" max="8200" width="6.69921875" customWidth="1"/>
    <col min="8201" max="8201" width="7.3984375" customWidth="1"/>
    <col min="8202" max="8202" width="7.5" customWidth="1"/>
    <col min="8203" max="8203" width="7.09765625" customWidth="1"/>
    <col min="8204" max="8204" width="6.09765625" customWidth="1"/>
    <col min="8445" max="8445" width="13.8984375" customWidth="1"/>
    <col min="8453" max="8453" width="5.19921875" customWidth="1"/>
    <col min="8454" max="8455" width="7.59765625" customWidth="1"/>
    <col min="8456" max="8456" width="6.69921875" customWidth="1"/>
    <col min="8457" max="8457" width="7.3984375" customWidth="1"/>
    <col min="8458" max="8458" width="7.5" customWidth="1"/>
    <col min="8459" max="8459" width="7.09765625" customWidth="1"/>
    <col min="8460" max="8460" width="6.09765625" customWidth="1"/>
    <col min="8701" max="8701" width="13.8984375" customWidth="1"/>
    <col min="8709" max="8709" width="5.19921875" customWidth="1"/>
    <col min="8710" max="8711" width="7.59765625" customWidth="1"/>
    <col min="8712" max="8712" width="6.69921875" customWidth="1"/>
    <col min="8713" max="8713" width="7.3984375" customWidth="1"/>
    <col min="8714" max="8714" width="7.5" customWidth="1"/>
    <col min="8715" max="8715" width="7.09765625" customWidth="1"/>
    <col min="8716" max="8716" width="6.09765625" customWidth="1"/>
    <col min="8957" max="8957" width="13.8984375" customWidth="1"/>
    <col min="8965" max="8965" width="5.19921875" customWidth="1"/>
    <col min="8966" max="8967" width="7.59765625" customWidth="1"/>
    <col min="8968" max="8968" width="6.69921875" customWidth="1"/>
    <col min="8969" max="8969" width="7.3984375" customWidth="1"/>
    <col min="8970" max="8970" width="7.5" customWidth="1"/>
    <col min="8971" max="8971" width="7.09765625" customWidth="1"/>
    <col min="8972" max="8972" width="6.09765625" customWidth="1"/>
    <col min="9213" max="9213" width="13.8984375" customWidth="1"/>
    <col min="9221" max="9221" width="5.19921875" customWidth="1"/>
    <col min="9222" max="9223" width="7.59765625" customWidth="1"/>
    <col min="9224" max="9224" width="6.69921875" customWidth="1"/>
    <col min="9225" max="9225" width="7.3984375" customWidth="1"/>
    <col min="9226" max="9226" width="7.5" customWidth="1"/>
    <col min="9227" max="9227" width="7.09765625" customWidth="1"/>
    <col min="9228" max="9228" width="6.09765625" customWidth="1"/>
    <col min="9469" max="9469" width="13.8984375" customWidth="1"/>
    <col min="9477" max="9477" width="5.19921875" customWidth="1"/>
    <col min="9478" max="9479" width="7.59765625" customWidth="1"/>
    <col min="9480" max="9480" width="6.69921875" customWidth="1"/>
    <col min="9481" max="9481" width="7.3984375" customWidth="1"/>
    <col min="9482" max="9482" width="7.5" customWidth="1"/>
    <col min="9483" max="9483" width="7.09765625" customWidth="1"/>
    <col min="9484" max="9484" width="6.09765625" customWidth="1"/>
    <col min="9725" max="9725" width="13.8984375" customWidth="1"/>
    <col min="9733" max="9733" width="5.19921875" customWidth="1"/>
    <col min="9734" max="9735" width="7.59765625" customWidth="1"/>
    <col min="9736" max="9736" width="6.69921875" customWidth="1"/>
    <col min="9737" max="9737" width="7.3984375" customWidth="1"/>
    <col min="9738" max="9738" width="7.5" customWidth="1"/>
    <col min="9739" max="9739" width="7.09765625" customWidth="1"/>
    <col min="9740" max="9740" width="6.09765625" customWidth="1"/>
    <col min="9981" max="9981" width="13.8984375" customWidth="1"/>
    <col min="9989" max="9989" width="5.19921875" customWidth="1"/>
    <col min="9990" max="9991" width="7.59765625" customWidth="1"/>
    <col min="9992" max="9992" width="6.69921875" customWidth="1"/>
    <col min="9993" max="9993" width="7.3984375" customWidth="1"/>
    <col min="9994" max="9994" width="7.5" customWidth="1"/>
    <col min="9995" max="9995" width="7.09765625" customWidth="1"/>
    <col min="9996" max="9996" width="6.09765625" customWidth="1"/>
    <col min="10237" max="10237" width="13.8984375" customWidth="1"/>
    <col min="10245" max="10245" width="5.19921875" customWidth="1"/>
    <col min="10246" max="10247" width="7.59765625" customWidth="1"/>
    <col min="10248" max="10248" width="6.69921875" customWidth="1"/>
    <col min="10249" max="10249" width="7.3984375" customWidth="1"/>
    <col min="10250" max="10250" width="7.5" customWidth="1"/>
    <col min="10251" max="10251" width="7.09765625" customWidth="1"/>
    <col min="10252" max="10252" width="6.09765625" customWidth="1"/>
    <col min="10493" max="10493" width="13.8984375" customWidth="1"/>
    <col min="10501" max="10501" width="5.19921875" customWidth="1"/>
    <col min="10502" max="10503" width="7.59765625" customWidth="1"/>
    <col min="10504" max="10504" width="6.69921875" customWidth="1"/>
    <col min="10505" max="10505" width="7.3984375" customWidth="1"/>
    <col min="10506" max="10506" width="7.5" customWidth="1"/>
    <col min="10507" max="10507" width="7.09765625" customWidth="1"/>
    <col min="10508" max="10508" width="6.09765625" customWidth="1"/>
    <col min="10749" max="10749" width="13.8984375" customWidth="1"/>
    <col min="10757" max="10757" width="5.19921875" customWidth="1"/>
    <col min="10758" max="10759" width="7.59765625" customWidth="1"/>
    <col min="10760" max="10760" width="6.69921875" customWidth="1"/>
    <col min="10761" max="10761" width="7.3984375" customWidth="1"/>
    <col min="10762" max="10762" width="7.5" customWidth="1"/>
    <col min="10763" max="10763" width="7.09765625" customWidth="1"/>
    <col min="10764" max="10764" width="6.09765625" customWidth="1"/>
    <col min="11005" max="11005" width="13.8984375" customWidth="1"/>
    <col min="11013" max="11013" width="5.19921875" customWidth="1"/>
    <col min="11014" max="11015" width="7.59765625" customWidth="1"/>
    <col min="11016" max="11016" width="6.69921875" customWidth="1"/>
    <col min="11017" max="11017" width="7.3984375" customWidth="1"/>
    <col min="11018" max="11018" width="7.5" customWidth="1"/>
    <col min="11019" max="11019" width="7.09765625" customWidth="1"/>
    <col min="11020" max="11020" width="6.09765625" customWidth="1"/>
    <col min="11261" max="11261" width="13.8984375" customWidth="1"/>
    <col min="11269" max="11269" width="5.19921875" customWidth="1"/>
    <col min="11270" max="11271" width="7.59765625" customWidth="1"/>
    <col min="11272" max="11272" width="6.69921875" customWidth="1"/>
    <col min="11273" max="11273" width="7.3984375" customWidth="1"/>
    <col min="11274" max="11274" width="7.5" customWidth="1"/>
    <col min="11275" max="11275" width="7.09765625" customWidth="1"/>
    <col min="11276" max="11276" width="6.09765625" customWidth="1"/>
    <col min="11517" max="11517" width="13.8984375" customWidth="1"/>
    <col min="11525" max="11525" width="5.19921875" customWidth="1"/>
    <col min="11526" max="11527" width="7.59765625" customWidth="1"/>
    <col min="11528" max="11528" width="6.69921875" customWidth="1"/>
    <col min="11529" max="11529" width="7.3984375" customWidth="1"/>
    <col min="11530" max="11530" width="7.5" customWidth="1"/>
    <col min="11531" max="11531" width="7.09765625" customWidth="1"/>
    <col min="11532" max="11532" width="6.09765625" customWidth="1"/>
    <col min="11773" max="11773" width="13.8984375" customWidth="1"/>
    <col min="11781" max="11781" width="5.19921875" customWidth="1"/>
    <col min="11782" max="11783" width="7.59765625" customWidth="1"/>
    <col min="11784" max="11784" width="6.69921875" customWidth="1"/>
    <col min="11785" max="11785" width="7.3984375" customWidth="1"/>
    <col min="11786" max="11786" width="7.5" customWidth="1"/>
    <col min="11787" max="11787" width="7.09765625" customWidth="1"/>
    <col min="11788" max="11788" width="6.09765625" customWidth="1"/>
    <col min="12029" max="12029" width="13.8984375" customWidth="1"/>
    <col min="12037" max="12037" width="5.19921875" customWidth="1"/>
    <col min="12038" max="12039" width="7.59765625" customWidth="1"/>
    <col min="12040" max="12040" width="6.69921875" customWidth="1"/>
    <col min="12041" max="12041" width="7.3984375" customWidth="1"/>
    <col min="12042" max="12042" width="7.5" customWidth="1"/>
    <col min="12043" max="12043" width="7.09765625" customWidth="1"/>
    <col min="12044" max="12044" width="6.09765625" customWidth="1"/>
    <col min="12285" max="12285" width="13.8984375" customWidth="1"/>
    <col min="12293" max="12293" width="5.19921875" customWidth="1"/>
    <col min="12294" max="12295" width="7.59765625" customWidth="1"/>
    <col min="12296" max="12296" width="6.69921875" customWidth="1"/>
    <col min="12297" max="12297" width="7.3984375" customWidth="1"/>
    <col min="12298" max="12298" width="7.5" customWidth="1"/>
    <col min="12299" max="12299" width="7.09765625" customWidth="1"/>
    <col min="12300" max="12300" width="6.09765625" customWidth="1"/>
    <col min="12541" max="12541" width="13.8984375" customWidth="1"/>
    <col min="12549" max="12549" width="5.19921875" customWidth="1"/>
    <col min="12550" max="12551" width="7.59765625" customWidth="1"/>
    <col min="12552" max="12552" width="6.69921875" customWidth="1"/>
    <col min="12553" max="12553" width="7.3984375" customWidth="1"/>
    <col min="12554" max="12554" width="7.5" customWidth="1"/>
    <col min="12555" max="12555" width="7.09765625" customWidth="1"/>
    <col min="12556" max="12556" width="6.09765625" customWidth="1"/>
    <col min="12797" max="12797" width="13.8984375" customWidth="1"/>
    <col min="12805" max="12805" width="5.19921875" customWidth="1"/>
    <col min="12806" max="12807" width="7.59765625" customWidth="1"/>
    <col min="12808" max="12808" width="6.69921875" customWidth="1"/>
    <col min="12809" max="12809" width="7.3984375" customWidth="1"/>
    <col min="12810" max="12810" width="7.5" customWidth="1"/>
    <col min="12811" max="12811" width="7.09765625" customWidth="1"/>
    <col min="12812" max="12812" width="6.09765625" customWidth="1"/>
    <col min="13053" max="13053" width="13.8984375" customWidth="1"/>
    <col min="13061" max="13061" width="5.19921875" customWidth="1"/>
    <col min="13062" max="13063" width="7.59765625" customWidth="1"/>
    <col min="13064" max="13064" width="6.69921875" customWidth="1"/>
    <col min="13065" max="13065" width="7.3984375" customWidth="1"/>
    <col min="13066" max="13066" width="7.5" customWidth="1"/>
    <col min="13067" max="13067" width="7.09765625" customWidth="1"/>
    <col min="13068" max="13068" width="6.09765625" customWidth="1"/>
    <col min="13309" max="13309" width="13.8984375" customWidth="1"/>
    <col min="13317" max="13317" width="5.19921875" customWidth="1"/>
    <col min="13318" max="13319" width="7.59765625" customWidth="1"/>
    <col min="13320" max="13320" width="6.69921875" customWidth="1"/>
    <col min="13321" max="13321" width="7.3984375" customWidth="1"/>
    <col min="13322" max="13322" width="7.5" customWidth="1"/>
    <col min="13323" max="13323" width="7.09765625" customWidth="1"/>
    <col min="13324" max="13324" width="6.09765625" customWidth="1"/>
    <col min="13565" max="13565" width="13.8984375" customWidth="1"/>
    <col min="13573" max="13573" width="5.19921875" customWidth="1"/>
    <col min="13574" max="13575" width="7.59765625" customWidth="1"/>
    <col min="13576" max="13576" width="6.69921875" customWidth="1"/>
    <col min="13577" max="13577" width="7.3984375" customWidth="1"/>
    <col min="13578" max="13578" width="7.5" customWidth="1"/>
    <col min="13579" max="13579" width="7.09765625" customWidth="1"/>
    <col min="13580" max="13580" width="6.09765625" customWidth="1"/>
    <col min="13821" max="13821" width="13.8984375" customWidth="1"/>
    <col min="13829" max="13829" width="5.19921875" customWidth="1"/>
    <col min="13830" max="13831" width="7.59765625" customWidth="1"/>
    <col min="13832" max="13832" width="6.69921875" customWidth="1"/>
    <col min="13833" max="13833" width="7.3984375" customWidth="1"/>
    <col min="13834" max="13834" width="7.5" customWidth="1"/>
    <col min="13835" max="13835" width="7.09765625" customWidth="1"/>
    <col min="13836" max="13836" width="6.09765625" customWidth="1"/>
    <col min="14077" max="14077" width="13.8984375" customWidth="1"/>
    <col min="14085" max="14085" width="5.19921875" customWidth="1"/>
    <col min="14086" max="14087" width="7.59765625" customWidth="1"/>
    <col min="14088" max="14088" width="6.69921875" customWidth="1"/>
    <col min="14089" max="14089" width="7.3984375" customWidth="1"/>
    <col min="14090" max="14090" width="7.5" customWidth="1"/>
    <col min="14091" max="14091" width="7.09765625" customWidth="1"/>
    <col min="14092" max="14092" width="6.09765625" customWidth="1"/>
    <col min="14333" max="14333" width="13.8984375" customWidth="1"/>
    <col min="14341" max="14341" width="5.19921875" customWidth="1"/>
    <col min="14342" max="14343" width="7.59765625" customWidth="1"/>
    <col min="14344" max="14344" width="6.69921875" customWidth="1"/>
    <col min="14345" max="14345" width="7.3984375" customWidth="1"/>
    <col min="14346" max="14346" width="7.5" customWidth="1"/>
    <col min="14347" max="14347" width="7.09765625" customWidth="1"/>
    <col min="14348" max="14348" width="6.09765625" customWidth="1"/>
    <col min="14589" max="14589" width="13.8984375" customWidth="1"/>
    <col min="14597" max="14597" width="5.19921875" customWidth="1"/>
    <col min="14598" max="14599" width="7.59765625" customWidth="1"/>
    <col min="14600" max="14600" width="6.69921875" customWidth="1"/>
    <col min="14601" max="14601" width="7.3984375" customWidth="1"/>
    <col min="14602" max="14602" width="7.5" customWidth="1"/>
    <col min="14603" max="14603" width="7.09765625" customWidth="1"/>
    <col min="14604" max="14604" width="6.09765625" customWidth="1"/>
    <col min="14845" max="14845" width="13.8984375" customWidth="1"/>
    <col min="14853" max="14853" width="5.19921875" customWidth="1"/>
    <col min="14854" max="14855" width="7.59765625" customWidth="1"/>
    <col min="14856" max="14856" width="6.69921875" customWidth="1"/>
    <col min="14857" max="14857" width="7.3984375" customWidth="1"/>
    <col min="14858" max="14858" width="7.5" customWidth="1"/>
    <col min="14859" max="14859" width="7.09765625" customWidth="1"/>
    <col min="14860" max="14860" width="6.09765625" customWidth="1"/>
    <col min="15101" max="15101" width="13.8984375" customWidth="1"/>
    <col min="15109" max="15109" width="5.19921875" customWidth="1"/>
    <col min="15110" max="15111" width="7.59765625" customWidth="1"/>
    <col min="15112" max="15112" width="6.69921875" customWidth="1"/>
    <col min="15113" max="15113" width="7.3984375" customWidth="1"/>
    <col min="15114" max="15114" width="7.5" customWidth="1"/>
    <col min="15115" max="15115" width="7.09765625" customWidth="1"/>
    <col min="15116" max="15116" width="6.09765625" customWidth="1"/>
    <col min="15357" max="15357" width="13.8984375" customWidth="1"/>
    <col min="15365" max="15365" width="5.19921875" customWidth="1"/>
    <col min="15366" max="15367" width="7.59765625" customWidth="1"/>
    <col min="15368" max="15368" width="6.69921875" customWidth="1"/>
    <col min="15369" max="15369" width="7.3984375" customWidth="1"/>
    <col min="15370" max="15370" width="7.5" customWidth="1"/>
    <col min="15371" max="15371" width="7.09765625" customWidth="1"/>
    <col min="15372" max="15372" width="6.09765625" customWidth="1"/>
    <col min="15613" max="15613" width="13.8984375" customWidth="1"/>
    <col min="15621" max="15621" width="5.19921875" customWidth="1"/>
    <col min="15622" max="15623" width="7.59765625" customWidth="1"/>
    <col min="15624" max="15624" width="6.69921875" customWidth="1"/>
    <col min="15625" max="15625" width="7.3984375" customWidth="1"/>
    <col min="15626" max="15626" width="7.5" customWidth="1"/>
    <col min="15627" max="15627" width="7.09765625" customWidth="1"/>
    <col min="15628" max="15628" width="6.09765625" customWidth="1"/>
    <col min="15869" max="15869" width="13.8984375" customWidth="1"/>
    <col min="15877" max="15877" width="5.19921875" customWidth="1"/>
    <col min="15878" max="15879" width="7.59765625" customWidth="1"/>
    <col min="15880" max="15880" width="6.69921875" customWidth="1"/>
    <col min="15881" max="15881" width="7.3984375" customWidth="1"/>
    <col min="15882" max="15882" width="7.5" customWidth="1"/>
    <col min="15883" max="15883" width="7.09765625" customWidth="1"/>
    <col min="15884" max="15884" width="6.09765625" customWidth="1"/>
    <col min="16125" max="16125" width="13.8984375" customWidth="1"/>
    <col min="16133" max="16133" width="5.19921875" customWidth="1"/>
    <col min="16134" max="16135" width="7.59765625" customWidth="1"/>
    <col min="16136" max="16136" width="6.69921875" customWidth="1"/>
    <col min="16137" max="16137" width="7.3984375" customWidth="1"/>
    <col min="16138" max="16138" width="7.5" customWidth="1"/>
    <col min="16139" max="16139" width="7.09765625" customWidth="1"/>
    <col min="16140" max="16140" width="6.09765625" customWidth="1"/>
  </cols>
  <sheetData>
    <row r="2" spans="2:10" ht="24.9" customHeight="1" x14ac:dyDescent="0.3">
      <c r="B2" s="261" t="s">
        <v>120</v>
      </c>
      <c r="C2" s="261"/>
      <c r="D2" s="261"/>
      <c r="E2" s="261"/>
      <c r="F2" s="261"/>
    </row>
    <row r="4" spans="2:10" x14ac:dyDescent="0.3">
      <c r="B4" t="s">
        <v>21</v>
      </c>
    </row>
    <row r="6" spans="2:10" ht="31.2" x14ac:dyDescent="0.3">
      <c r="B6" s="29"/>
      <c r="C6" s="84" t="s">
        <v>91</v>
      </c>
      <c r="D6" s="84" t="s">
        <v>90</v>
      </c>
      <c r="E6" s="84" t="s">
        <v>94</v>
      </c>
      <c r="F6" s="84" t="s">
        <v>95</v>
      </c>
      <c r="G6" s="22"/>
    </row>
    <row r="7" spans="2:10" x14ac:dyDescent="0.3">
      <c r="B7" s="29"/>
      <c r="C7" s="29"/>
      <c r="D7" s="29"/>
      <c r="E7" s="152"/>
      <c r="F7" s="13"/>
      <c r="G7" s="22"/>
    </row>
    <row r="8" spans="2:10" x14ac:dyDescent="0.3">
      <c r="B8" s="158" t="s">
        <v>114</v>
      </c>
      <c r="C8" s="159">
        <v>372.07000000000005</v>
      </c>
      <c r="D8" s="160">
        <v>403.63000000000005</v>
      </c>
      <c r="E8" s="161">
        <f>((C8-D8)/D8)*100</f>
        <v>-7.8190421921066315</v>
      </c>
      <c r="F8" s="162">
        <f>C8-D8</f>
        <v>-31.560000000000002</v>
      </c>
      <c r="G8" s="22"/>
      <c r="I8" s="24"/>
    </row>
    <row r="9" spans="2:10" x14ac:dyDescent="0.3">
      <c r="B9" s="27" t="s">
        <v>14</v>
      </c>
      <c r="C9" s="154">
        <v>270.22000000000003</v>
      </c>
      <c r="D9" s="155">
        <v>279.41000000000003</v>
      </c>
      <c r="E9" s="156">
        <f t="shared" ref="E9:E14" si="0">((C9-D9)/D9)*100</f>
        <v>-3.2890734046741339</v>
      </c>
      <c r="F9" s="20">
        <f t="shared" ref="F9:F12" si="1">C9-D9</f>
        <v>-9.1899999999999977</v>
      </c>
      <c r="G9" s="22"/>
    </row>
    <row r="10" spans="2:10" x14ac:dyDescent="0.3">
      <c r="B10" s="27" t="s">
        <v>15</v>
      </c>
      <c r="C10" s="28">
        <v>101.85000000000001</v>
      </c>
      <c r="D10" s="20">
        <v>124.22000000000001</v>
      </c>
      <c r="E10" s="156">
        <f t="shared" si="0"/>
        <v>-18.008372242795044</v>
      </c>
      <c r="F10" s="20">
        <f t="shared" si="1"/>
        <v>-22.370000000000005</v>
      </c>
      <c r="G10" s="13"/>
      <c r="H10" s="48"/>
      <c r="I10" s="48"/>
      <c r="J10" s="48"/>
    </row>
    <row r="11" spans="2:10" x14ac:dyDescent="0.3">
      <c r="B11" s="13"/>
      <c r="C11" s="20"/>
      <c r="D11" s="23"/>
      <c r="E11" s="153"/>
      <c r="F11" s="20"/>
      <c r="G11" s="13"/>
      <c r="H11" s="48"/>
      <c r="I11" s="48"/>
      <c r="J11" s="48"/>
    </row>
    <row r="12" spans="2:10" x14ac:dyDescent="0.3">
      <c r="B12" s="158" t="s">
        <v>8</v>
      </c>
      <c r="C12" s="160">
        <v>602.54</v>
      </c>
      <c r="D12" s="160">
        <v>618.27450185999999</v>
      </c>
      <c r="E12" s="161">
        <f t="shared" si="0"/>
        <v>-2.5449055092300878</v>
      </c>
      <c r="F12" s="21">
        <f t="shared" si="1"/>
        <v>-15.734501860000023</v>
      </c>
      <c r="G12" s="13"/>
      <c r="H12" s="48"/>
      <c r="I12" s="48"/>
      <c r="J12" s="48"/>
    </row>
    <row r="13" spans="2:10" x14ac:dyDescent="0.3">
      <c r="B13" s="13"/>
      <c r="C13" s="20"/>
      <c r="D13" s="20"/>
      <c r="E13" s="153"/>
      <c r="F13" s="20"/>
      <c r="G13" s="13"/>
      <c r="H13" s="48"/>
      <c r="I13" s="48"/>
      <c r="J13" s="48"/>
    </row>
    <row r="14" spans="2:10" ht="17.399999999999999" x14ac:dyDescent="0.3">
      <c r="B14" s="164" t="s">
        <v>115</v>
      </c>
      <c r="C14" s="165">
        <f>C8/C12</f>
        <v>0.61750257244332341</v>
      </c>
      <c r="D14" s="165">
        <f>D8/D12</f>
        <v>0.65283300344059259</v>
      </c>
      <c r="E14" s="166">
        <f t="shared" si="0"/>
        <v>-5.4118634951157505</v>
      </c>
      <c r="F14" s="128">
        <f>C14-D14</f>
        <v>-3.533043099726918E-2</v>
      </c>
      <c r="G14" s="13" t="s">
        <v>116</v>
      </c>
      <c r="H14" s="48"/>
      <c r="I14" s="48"/>
      <c r="J14" s="48"/>
    </row>
    <row r="15" spans="2:10" x14ac:dyDescent="0.3">
      <c r="B15" s="29"/>
      <c r="C15" s="30"/>
      <c r="D15" s="31"/>
      <c r="E15" s="13"/>
      <c r="F15" s="13"/>
      <c r="G15" s="13"/>
      <c r="H15" s="48"/>
    </row>
    <row r="16" spans="2:10" x14ac:dyDescent="0.3">
      <c r="B16" s="157" t="s">
        <v>117</v>
      </c>
      <c r="C16" s="22"/>
      <c r="D16" s="22"/>
      <c r="E16" s="22"/>
      <c r="F16" s="22"/>
      <c r="G16" s="22"/>
    </row>
  </sheetData>
  <mergeCells count="1">
    <mergeCell ref="B2:F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showGridLines="0" workbookViewId="0">
      <selection activeCell="G23" sqref="G23"/>
    </sheetView>
  </sheetViews>
  <sheetFormatPr baseColWidth="10" defaultColWidth="11" defaultRowHeight="15.6" x14ac:dyDescent="0.3"/>
  <cols>
    <col min="1" max="1" width="5.59765625" style="57" customWidth="1"/>
    <col min="2" max="2" width="23.59765625" style="4" customWidth="1"/>
    <col min="3" max="4" width="10.59765625" style="4" customWidth="1"/>
    <col min="5" max="5" width="1" style="57" customWidth="1"/>
    <col min="6" max="7" width="10.59765625" style="4" customWidth="1"/>
    <col min="8" max="8" width="1" style="57" customWidth="1"/>
    <col min="9" max="10" width="10.59765625" style="4" customWidth="1"/>
    <col min="11" max="11" width="2.09765625" style="4" customWidth="1"/>
    <col min="12" max="13" width="10.59765625" style="4" customWidth="1"/>
    <col min="14" max="14" width="1" style="57" customWidth="1"/>
    <col min="15" max="16" width="10.59765625" style="4" customWidth="1"/>
    <col min="17" max="17" width="1" style="57" customWidth="1"/>
    <col min="18" max="19" width="10.59765625" style="4" customWidth="1"/>
    <col min="20" max="16384" width="11" style="4"/>
  </cols>
  <sheetData>
    <row r="1" spans="2:20" x14ac:dyDescent="0.3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2:20" ht="24.9" customHeight="1" x14ac:dyDescent="0.5">
      <c r="B2" s="1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2:20" ht="24.9" customHeight="1" x14ac:dyDescent="0.3">
      <c r="B3" s="261" t="s">
        <v>121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</row>
    <row r="4" spans="2:20" s="57" customFormat="1" x14ac:dyDescent="0.3">
      <c r="B4" s="5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</row>
    <row r="5" spans="2:20" x14ac:dyDescent="0.3">
      <c r="B5" s="4" t="s">
        <v>118</v>
      </c>
    </row>
    <row r="6" spans="2:20" x14ac:dyDescent="0.3"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15.75" customHeight="1" x14ac:dyDescent="0.3">
      <c r="B7" s="173"/>
      <c r="C7" s="266" t="s">
        <v>7</v>
      </c>
      <c r="D7" s="266"/>
      <c r="E7" s="266"/>
      <c r="F7" s="266"/>
      <c r="G7" s="266"/>
      <c r="H7" s="266"/>
      <c r="I7" s="266"/>
      <c r="J7" s="266"/>
      <c r="K7" s="7"/>
      <c r="L7" s="266" t="s">
        <v>0</v>
      </c>
      <c r="M7" s="266"/>
      <c r="N7" s="266"/>
      <c r="O7" s="266"/>
      <c r="P7" s="266"/>
      <c r="Q7" s="266"/>
      <c r="R7" s="266"/>
      <c r="S7" s="266"/>
      <c r="T7" s="13"/>
    </row>
    <row r="8" spans="2:20" s="5" customFormat="1" ht="15.75" customHeight="1" x14ac:dyDescent="0.3">
      <c r="B8" s="173"/>
      <c r="C8" s="189"/>
      <c r="D8" s="189"/>
      <c r="E8" s="189"/>
      <c r="F8" s="189"/>
      <c r="G8" s="189"/>
      <c r="H8" s="189"/>
      <c r="I8" s="189"/>
      <c r="J8" s="189"/>
      <c r="K8" s="7"/>
      <c r="L8" s="7"/>
      <c r="M8" s="7"/>
      <c r="N8" s="7"/>
      <c r="O8" s="7"/>
      <c r="P8" s="7"/>
      <c r="Q8" s="7"/>
      <c r="R8" s="7"/>
      <c r="S8" s="18"/>
      <c r="T8" s="18"/>
    </row>
    <row r="9" spans="2:20" s="163" customFormat="1" ht="38.25" customHeight="1" x14ac:dyDescent="0.35">
      <c r="B9" s="174"/>
      <c r="C9" s="181" t="s">
        <v>2</v>
      </c>
      <c r="D9" s="181" t="s">
        <v>104</v>
      </c>
      <c r="E9" s="180"/>
      <c r="F9" s="181" t="s">
        <v>3</v>
      </c>
      <c r="G9" s="181" t="s">
        <v>104</v>
      </c>
      <c r="H9" s="180"/>
      <c r="I9" s="181" t="s">
        <v>1</v>
      </c>
      <c r="J9" s="181" t="s">
        <v>104</v>
      </c>
      <c r="K9" s="174"/>
      <c r="L9" s="181" t="s">
        <v>2</v>
      </c>
      <c r="M9" s="181" t="s">
        <v>104</v>
      </c>
      <c r="N9" s="180"/>
      <c r="O9" s="181" t="s">
        <v>3</v>
      </c>
      <c r="P9" s="181" t="s">
        <v>104</v>
      </c>
      <c r="Q9" s="180"/>
      <c r="R9" s="181" t="s">
        <v>1</v>
      </c>
      <c r="S9" s="181" t="s">
        <v>104</v>
      </c>
      <c r="T9" s="175"/>
    </row>
    <row r="10" spans="2:20" x14ac:dyDescent="0.3"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3"/>
      <c r="Q10" s="13"/>
      <c r="R10" s="173"/>
      <c r="S10" s="173"/>
      <c r="T10" s="13"/>
    </row>
    <row r="11" spans="2:20" x14ac:dyDescent="0.3">
      <c r="B11" s="173" t="s">
        <v>4</v>
      </c>
      <c r="C11" s="176">
        <v>483</v>
      </c>
      <c r="D11" s="177">
        <f>(C11/$C$15)*100</f>
        <v>41.709844559585491</v>
      </c>
      <c r="E11" s="177"/>
      <c r="F11" s="13">
        <v>96</v>
      </c>
      <c r="G11" s="177">
        <f>(F11/$F$15)*100</f>
        <v>48.241206030150749</v>
      </c>
      <c r="H11" s="177"/>
      <c r="I11" s="13">
        <v>579</v>
      </c>
      <c r="J11" s="177">
        <f>(I11/$I$15)*100</f>
        <v>42.667649226234339</v>
      </c>
      <c r="K11" s="8"/>
      <c r="L11" s="8">
        <v>493</v>
      </c>
      <c r="M11" s="177">
        <f>(L11/$L$15)*100</f>
        <v>41.92176870748299</v>
      </c>
      <c r="N11" s="177"/>
      <c r="O11" s="8">
        <v>90</v>
      </c>
      <c r="P11" s="177">
        <f>(O11/$O$15)*100</f>
        <v>46.632124352331608</v>
      </c>
      <c r="Q11" s="177"/>
      <c r="R11" s="8">
        <v>583</v>
      </c>
      <c r="S11" s="177">
        <f>(R11/$R$15)*100</f>
        <v>42.585829072315555</v>
      </c>
      <c r="T11" s="13"/>
    </row>
    <row r="12" spans="2:20" x14ac:dyDescent="0.3">
      <c r="B12" s="173" t="s">
        <v>5</v>
      </c>
      <c r="C12" s="13">
        <v>107</v>
      </c>
      <c r="D12" s="177">
        <f>(C12/$C$15)*100</f>
        <v>9.2400690846286704</v>
      </c>
      <c r="E12" s="177"/>
      <c r="F12" s="13">
        <v>97</v>
      </c>
      <c r="G12" s="177">
        <f>(F12/$F$15)*100</f>
        <v>48.743718592964825</v>
      </c>
      <c r="H12" s="177"/>
      <c r="I12" s="13">
        <v>204</v>
      </c>
      <c r="J12" s="177">
        <f>(I12/$I$15)*100</f>
        <v>15.033161385408992</v>
      </c>
      <c r="K12" s="8"/>
      <c r="L12" s="8">
        <v>109</v>
      </c>
      <c r="M12" s="177">
        <f t="shared" ref="M12:M13" si="0">(L12/$L$15)*100</f>
        <v>9.2687074829931984</v>
      </c>
      <c r="N12" s="177"/>
      <c r="O12" s="8">
        <v>98</v>
      </c>
      <c r="P12" s="177">
        <f t="shared" ref="P12:P13" si="1">(O12/$O$15)*100</f>
        <v>50.777202072538863</v>
      </c>
      <c r="Q12" s="177"/>
      <c r="R12" s="8">
        <v>207</v>
      </c>
      <c r="S12" s="177">
        <f>(R12/$R$15)*100</f>
        <v>15.120525931336742</v>
      </c>
      <c r="T12" s="13"/>
    </row>
    <row r="13" spans="2:20" x14ac:dyDescent="0.3">
      <c r="B13" s="173" t="s">
        <v>6</v>
      </c>
      <c r="C13" s="13">
        <v>568</v>
      </c>
      <c r="D13" s="177">
        <f>(C13/$C$15)*100</f>
        <v>49.050086355785837</v>
      </c>
      <c r="E13" s="177"/>
      <c r="F13" s="13">
        <v>6</v>
      </c>
      <c r="G13" s="177">
        <f>(F13/$F$15)*100</f>
        <v>3.0150753768844218</v>
      </c>
      <c r="H13" s="177"/>
      <c r="I13" s="13">
        <v>574</v>
      </c>
      <c r="J13" s="177">
        <f>(I13/$I$15)*100</f>
        <v>42.299189388356666</v>
      </c>
      <c r="K13" s="8"/>
      <c r="L13" s="8">
        <v>574</v>
      </c>
      <c r="M13" s="177">
        <f t="shared" si="0"/>
        <v>48.80952380952381</v>
      </c>
      <c r="N13" s="177"/>
      <c r="O13" s="8">
        <v>5</v>
      </c>
      <c r="P13" s="177">
        <f t="shared" si="1"/>
        <v>2.5906735751295336</v>
      </c>
      <c r="Q13" s="177"/>
      <c r="R13" s="8">
        <v>579</v>
      </c>
      <c r="S13" s="177">
        <f>(R13/$R$15)*100</f>
        <v>42.293644996347702</v>
      </c>
      <c r="T13" s="13"/>
    </row>
    <row r="14" spans="2:20" x14ac:dyDescent="0.3">
      <c r="B14" s="173"/>
      <c r="C14" s="8"/>
      <c r="D14" s="177"/>
      <c r="E14" s="177"/>
      <c r="F14" s="8"/>
      <c r="G14" s="177"/>
      <c r="H14" s="177"/>
      <c r="I14" s="8"/>
      <c r="J14" s="177"/>
      <c r="K14" s="8"/>
      <c r="L14" s="8"/>
      <c r="M14" s="178"/>
      <c r="N14" s="178"/>
      <c r="O14" s="8"/>
      <c r="P14" s="178"/>
      <c r="Q14" s="178"/>
      <c r="R14" s="8"/>
      <c r="S14" s="177"/>
      <c r="T14" s="13"/>
    </row>
    <row r="15" spans="2:20" s="112" customFormat="1" ht="17.399999999999999" x14ac:dyDescent="0.3">
      <c r="B15" s="190" t="s">
        <v>1</v>
      </c>
      <c r="C15" s="191">
        <f>C11+C12+C13</f>
        <v>1158</v>
      </c>
      <c r="D15" s="192">
        <f>(C15/I15)*100</f>
        <v>85.335298452468678</v>
      </c>
      <c r="E15" s="192"/>
      <c r="F15" s="191">
        <f>F11+F12+F13</f>
        <v>199</v>
      </c>
      <c r="G15" s="192">
        <f>(F15/I15)*100</f>
        <v>14.664701547531319</v>
      </c>
      <c r="H15" s="192"/>
      <c r="I15" s="191">
        <f>I11+I12+I13</f>
        <v>1357</v>
      </c>
      <c r="J15" s="192">
        <f>(I15/$I$15)*100</f>
        <v>100</v>
      </c>
      <c r="K15" s="193"/>
      <c r="L15" s="191">
        <f>L11+L12+L13</f>
        <v>1176</v>
      </c>
      <c r="M15" s="192">
        <f>(L15/R15)*100</f>
        <v>85.902118334550764</v>
      </c>
      <c r="N15" s="192"/>
      <c r="O15" s="191">
        <f>O11+O12+O13</f>
        <v>193</v>
      </c>
      <c r="P15" s="192">
        <f>(O15/R15)*100</f>
        <v>14.097881665449233</v>
      </c>
      <c r="Q15" s="192"/>
      <c r="R15" s="191">
        <f>R11+R12+R13</f>
        <v>1369</v>
      </c>
      <c r="S15" s="192">
        <f>(R15/$R$15)*100</f>
        <v>100</v>
      </c>
      <c r="T15" s="113"/>
    </row>
    <row r="16" spans="2:20" x14ac:dyDescent="0.3">
      <c r="B16" s="179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3"/>
      <c r="T16" s="13"/>
    </row>
    <row r="17" spans="2:20" x14ac:dyDescent="0.3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</row>
    <row r="18" spans="2:20" x14ac:dyDescent="0.3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</row>
  </sheetData>
  <mergeCells count="3">
    <mergeCell ref="B3:S3"/>
    <mergeCell ref="C7:J7"/>
    <mergeCell ref="L7:S7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1"/>
  <sheetViews>
    <sheetView showGridLines="0" workbookViewId="0">
      <selection activeCell="L20" sqref="L20"/>
    </sheetView>
  </sheetViews>
  <sheetFormatPr baseColWidth="10" defaultRowHeight="15.6" x14ac:dyDescent="0.3"/>
  <cols>
    <col min="1" max="1" width="5.59765625" customWidth="1"/>
    <col min="2" max="2" width="26.69921875" customWidth="1"/>
    <col min="3" max="7" width="9.59765625" customWidth="1"/>
    <col min="250" max="250" width="26.69921875" customWidth="1"/>
    <col min="251" max="251" width="8.3984375" customWidth="1"/>
    <col min="252" max="253" width="7.69921875" customWidth="1"/>
    <col min="254" max="254" width="7.09765625" customWidth="1"/>
    <col min="255" max="255" width="6.8984375" customWidth="1"/>
    <col min="256" max="257" width="7.69921875" customWidth="1"/>
    <col min="258" max="258" width="7.19921875" customWidth="1"/>
    <col min="259" max="259" width="7.3984375" customWidth="1"/>
    <col min="260" max="261" width="7.59765625" customWidth="1"/>
    <col min="262" max="262" width="6.69921875" customWidth="1"/>
    <col min="263" max="263" width="7.5" customWidth="1"/>
    <col min="506" max="506" width="26.69921875" customWidth="1"/>
    <col min="507" max="507" width="8.3984375" customWidth="1"/>
    <col min="508" max="509" width="7.69921875" customWidth="1"/>
    <col min="510" max="510" width="7.09765625" customWidth="1"/>
    <col min="511" max="511" width="6.8984375" customWidth="1"/>
    <col min="512" max="513" width="7.69921875" customWidth="1"/>
    <col min="514" max="514" width="7.19921875" customWidth="1"/>
    <col min="515" max="515" width="7.3984375" customWidth="1"/>
    <col min="516" max="517" width="7.59765625" customWidth="1"/>
    <col min="518" max="518" width="6.69921875" customWidth="1"/>
    <col min="519" max="519" width="7.5" customWidth="1"/>
    <col min="762" max="762" width="26.69921875" customWidth="1"/>
    <col min="763" max="763" width="8.3984375" customWidth="1"/>
    <col min="764" max="765" width="7.69921875" customWidth="1"/>
    <col min="766" max="766" width="7.09765625" customWidth="1"/>
    <col min="767" max="767" width="6.8984375" customWidth="1"/>
    <col min="768" max="769" width="7.69921875" customWidth="1"/>
    <col min="770" max="770" width="7.19921875" customWidth="1"/>
    <col min="771" max="771" width="7.3984375" customWidth="1"/>
    <col min="772" max="773" width="7.59765625" customWidth="1"/>
    <col min="774" max="774" width="6.69921875" customWidth="1"/>
    <col min="775" max="775" width="7.5" customWidth="1"/>
    <col min="1018" max="1018" width="26.69921875" customWidth="1"/>
    <col min="1019" max="1019" width="8.3984375" customWidth="1"/>
    <col min="1020" max="1021" width="7.69921875" customWidth="1"/>
    <col min="1022" max="1022" width="7.09765625" customWidth="1"/>
    <col min="1023" max="1023" width="6.8984375" customWidth="1"/>
    <col min="1024" max="1025" width="7.69921875" customWidth="1"/>
    <col min="1026" max="1026" width="7.19921875" customWidth="1"/>
    <col min="1027" max="1027" width="7.3984375" customWidth="1"/>
    <col min="1028" max="1029" width="7.59765625" customWidth="1"/>
    <col min="1030" max="1030" width="6.69921875" customWidth="1"/>
    <col min="1031" max="1031" width="7.5" customWidth="1"/>
    <col min="1274" max="1274" width="26.69921875" customWidth="1"/>
    <col min="1275" max="1275" width="8.3984375" customWidth="1"/>
    <col min="1276" max="1277" width="7.69921875" customWidth="1"/>
    <col min="1278" max="1278" width="7.09765625" customWidth="1"/>
    <col min="1279" max="1279" width="6.8984375" customWidth="1"/>
    <col min="1280" max="1281" width="7.69921875" customWidth="1"/>
    <col min="1282" max="1282" width="7.19921875" customWidth="1"/>
    <col min="1283" max="1283" width="7.3984375" customWidth="1"/>
    <col min="1284" max="1285" width="7.59765625" customWidth="1"/>
    <col min="1286" max="1286" width="6.69921875" customWidth="1"/>
    <col min="1287" max="1287" width="7.5" customWidth="1"/>
    <col min="1530" max="1530" width="26.69921875" customWidth="1"/>
    <col min="1531" max="1531" width="8.3984375" customWidth="1"/>
    <col min="1532" max="1533" width="7.69921875" customWidth="1"/>
    <col min="1534" max="1534" width="7.09765625" customWidth="1"/>
    <col min="1535" max="1535" width="6.8984375" customWidth="1"/>
    <col min="1536" max="1537" width="7.69921875" customWidth="1"/>
    <col min="1538" max="1538" width="7.19921875" customWidth="1"/>
    <col min="1539" max="1539" width="7.3984375" customWidth="1"/>
    <col min="1540" max="1541" width="7.59765625" customWidth="1"/>
    <col min="1542" max="1542" width="6.69921875" customWidth="1"/>
    <col min="1543" max="1543" width="7.5" customWidth="1"/>
    <col min="1786" max="1786" width="26.69921875" customWidth="1"/>
    <col min="1787" max="1787" width="8.3984375" customWidth="1"/>
    <col min="1788" max="1789" width="7.69921875" customWidth="1"/>
    <col min="1790" max="1790" width="7.09765625" customWidth="1"/>
    <col min="1791" max="1791" width="6.8984375" customWidth="1"/>
    <col min="1792" max="1793" width="7.69921875" customWidth="1"/>
    <col min="1794" max="1794" width="7.19921875" customWidth="1"/>
    <col min="1795" max="1795" width="7.3984375" customWidth="1"/>
    <col min="1796" max="1797" width="7.59765625" customWidth="1"/>
    <col min="1798" max="1798" width="6.69921875" customWidth="1"/>
    <col min="1799" max="1799" width="7.5" customWidth="1"/>
    <col min="2042" max="2042" width="26.69921875" customWidth="1"/>
    <col min="2043" max="2043" width="8.3984375" customWidth="1"/>
    <col min="2044" max="2045" width="7.69921875" customWidth="1"/>
    <col min="2046" max="2046" width="7.09765625" customWidth="1"/>
    <col min="2047" max="2047" width="6.8984375" customWidth="1"/>
    <col min="2048" max="2049" width="7.69921875" customWidth="1"/>
    <col min="2050" max="2050" width="7.19921875" customWidth="1"/>
    <col min="2051" max="2051" width="7.3984375" customWidth="1"/>
    <col min="2052" max="2053" width="7.59765625" customWidth="1"/>
    <col min="2054" max="2054" width="6.69921875" customWidth="1"/>
    <col min="2055" max="2055" width="7.5" customWidth="1"/>
    <col min="2298" max="2298" width="26.69921875" customWidth="1"/>
    <col min="2299" max="2299" width="8.3984375" customWidth="1"/>
    <col min="2300" max="2301" width="7.69921875" customWidth="1"/>
    <col min="2302" max="2302" width="7.09765625" customWidth="1"/>
    <col min="2303" max="2303" width="6.8984375" customWidth="1"/>
    <col min="2304" max="2305" width="7.69921875" customWidth="1"/>
    <col min="2306" max="2306" width="7.19921875" customWidth="1"/>
    <col min="2307" max="2307" width="7.3984375" customWidth="1"/>
    <col min="2308" max="2309" width="7.59765625" customWidth="1"/>
    <col min="2310" max="2310" width="6.69921875" customWidth="1"/>
    <col min="2311" max="2311" width="7.5" customWidth="1"/>
    <col min="2554" max="2554" width="26.69921875" customWidth="1"/>
    <col min="2555" max="2555" width="8.3984375" customWidth="1"/>
    <col min="2556" max="2557" width="7.69921875" customWidth="1"/>
    <col min="2558" max="2558" width="7.09765625" customWidth="1"/>
    <col min="2559" max="2559" width="6.8984375" customWidth="1"/>
    <col min="2560" max="2561" width="7.69921875" customWidth="1"/>
    <col min="2562" max="2562" width="7.19921875" customWidth="1"/>
    <col min="2563" max="2563" width="7.3984375" customWidth="1"/>
    <col min="2564" max="2565" width="7.59765625" customWidth="1"/>
    <col min="2566" max="2566" width="6.69921875" customWidth="1"/>
    <col min="2567" max="2567" width="7.5" customWidth="1"/>
    <col min="2810" max="2810" width="26.69921875" customWidth="1"/>
    <col min="2811" max="2811" width="8.3984375" customWidth="1"/>
    <col min="2812" max="2813" width="7.69921875" customWidth="1"/>
    <col min="2814" max="2814" width="7.09765625" customWidth="1"/>
    <col min="2815" max="2815" width="6.8984375" customWidth="1"/>
    <col min="2816" max="2817" width="7.69921875" customWidth="1"/>
    <col min="2818" max="2818" width="7.19921875" customWidth="1"/>
    <col min="2819" max="2819" width="7.3984375" customWidth="1"/>
    <col min="2820" max="2821" width="7.59765625" customWidth="1"/>
    <col min="2822" max="2822" width="6.69921875" customWidth="1"/>
    <col min="2823" max="2823" width="7.5" customWidth="1"/>
    <col min="3066" max="3066" width="26.69921875" customWidth="1"/>
    <col min="3067" max="3067" width="8.3984375" customWidth="1"/>
    <col min="3068" max="3069" width="7.69921875" customWidth="1"/>
    <col min="3070" max="3070" width="7.09765625" customWidth="1"/>
    <col min="3071" max="3071" width="6.8984375" customWidth="1"/>
    <col min="3072" max="3073" width="7.69921875" customWidth="1"/>
    <col min="3074" max="3074" width="7.19921875" customWidth="1"/>
    <col min="3075" max="3075" width="7.3984375" customWidth="1"/>
    <col min="3076" max="3077" width="7.59765625" customWidth="1"/>
    <col min="3078" max="3078" width="6.69921875" customWidth="1"/>
    <col min="3079" max="3079" width="7.5" customWidth="1"/>
    <col min="3322" max="3322" width="26.69921875" customWidth="1"/>
    <col min="3323" max="3323" width="8.3984375" customWidth="1"/>
    <col min="3324" max="3325" width="7.69921875" customWidth="1"/>
    <col min="3326" max="3326" width="7.09765625" customWidth="1"/>
    <col min="3327" max="3327" width="6.8984375" customWidth="1"/>
    <col min="3328" max="3329" width="7.69921875" customWidth="1"/>
    <col min="3330" max="3330" width="7.19921875" customWidth="1"/>
    <col min="3331" max="3331" width="7.3984375" customWidth="1"/>
    <col min="3332" max="3333" width="7.59765625" customWidth="1"/>
    <col min="3334" max="3334" width="6.69921875" customWidth="1"/>
    <col min="3335" max="3335" width="7.5" customWidth="1"/>
    <col min="3578" max="3578" width="26.69921875" customWidth="1"/>
    <col min="3579" max="3579" width="8.3984375" customWidth="1"/>
    <col min="3580" max="3581" width="7.69921875" customWidth="1"/>
    <col min="3582" max="3582" width="7.09765625" customWidth="1"/>
    <col min="3583" max="3583" width="6.8984375" customWidth="1"/>
    <col min="3584" max="3585" width="7.69921875" customWidth="1"/>
    <col min="3586" max="3586" width="7.19921875" customWidth="1"/>
    <col min="3587" max="3587" width="7.3984375" customWidth="1"/>
    <col min="3588" max="3589" width="7.59765625" customWidth="1"/>
    <col min="3590" max="3590" width="6.69921875" customWidth="1"/>
    <col min="3591" max="3591" width="7.5" customWidth="1"/>
    <col min="3834" max="3834" width="26.69921875" customWidth="1"/>
    <col min="3835" max="3835" width="8.3984375" customWidth="1"/>
    <col min="3836" max="3837" width="7.69921875" customWidth="1"/>
    <col min="3838" max="3838" width="7.09765625" customWidth="1"/>
    <col min="3839" max="3839" width="6.8984375" customWidth="1"/>
    <col min="3840" max="3841" width="7.69921875" customWidth="1"/>
    <col min="3842" max="3842" width="7.19921875" customWidth="1"/>
    <col min="3843" max="3843" width="7.3984375" customWidth="1"/>
    <col min="3844" max="3845" width="7.59765625" customWidth="1"/>
    <col min="3846" max="3846" width="6.69921875" customWidth="1"/>
    <col min="3847" max="3847" width="7.5" customWidth="1"/>
    <col min="4090" max="4090" width="26.69921875" customWidth="1"/>
    <col min="4091" max="4091" width="8.3984375" customWidth="1"/>
    <col min="4092" max="4093" width="7.69921875" customWidth="1"/>
    <col min="4094" max="4094" width="7.09765625" customWidth="1"/>
    <col min="4095" max="4095" width="6.8984375" customWidth="1"/>
    <col min="4096" max="4097" width="7.69921875" customWidth="1"/>
    <col min="4098" max="4098" width="7.19921875" customWidth="1"/>
    <col min="4099" max="4099" width="7.3984375" customWidth="1"/>
    <col min="4100" max="4101" width="7.59765625" customWidth="1"/>
    <col min="4102" max="4102" width="6.69921875" customWidth="1"/>
    <col min="4103" max="4103" width="7.5" customWidth="1"/>
    <col min="4346" max="4346" width="26.69921875" customWidth="1"/>
    <col min="4347" max="4347" width="8.3984375" customWidth="1"/>
    <col min="4348" max="4349" width="7.69921875" customWidth="1"/>
    <col min="4350" max="4350" width="7.09765625" customWidth="1"/>
    <col min="4351" max="4351" width="6.8984375" customWidth="1"/>
    <col min="4352" max="4353" width="7.69921875" customWidth="1"/>
    <col min="4354" max="4354" width="7.19921875" customWidth="1"/>
    <col min="4355" max="4355" width="7.3984375" customWidth="1"/>
    <col min="4356" max="4357" width="7.59765625" customWidth="1"/>
    <col min="4358" max="4358" width="6.69921875" customWidth="1"/>
    <col min="4359" max="4359" width="7.5" customWidth="1"/>
    <col min="4602" max="4602" width="26.69921875" customWidth="1"/>
    <col min="4603" max="4603" width="8.3984375" customWidth="1"/>
    <col min="4604" max="4605" width="7.69921875" customWidth="1"/>
    <col min="4606" max="4606" width="7.09765625" customWidth="1"/>
    <col min="4607" max="4607" width="6.8984375" customWidth="1"/>
    <col min="4608" max="4609" width="7.69921875" customWidth="1"/>
    <col min="4610" max="4610" width="7.19921875" customWidth="1"/>
    <col min="4611" max="4611" width="7.3984375" customWidth="1"/>
    <col min="4612" max="4613" width="7.59765625" customWidth="1"/>
    <col min="4614" max="4614" width="6.69921875" customWidth="1"/>
    <col min="4615" max="4615" width="7.5" customWidth="1"/>
    <col min="4858" max="4858" width="26.69921875" customWidth="1"/>
    <col min="4859" max="4859" width="8.3984375" customWidth="1"/>
    <col min="4860" max="4861" width="7.69921875" customWidth="1"/>
    <col min="4862" max="4862" width="7.09765625" customWidth="1"/>
    <col min="4863" max="4863" width="6.8984375" customWidth="1"/>
    <col min="4864" max="4865" width="7.69921875" customWidth="1"/>
    <col min="4866" max="4866" width="7.19921875" customWidth="1"/>
    <col min="4867" max="4867" width="7.3984375" customWidth="1"/>
    <col min="4868" max="4869" width="7.59765625" customWidth="1"/>
    <col min="4870" max="4870" width="6.69921875" customWidth="1"/>
    <col min="4871" max="4871" width="7.5" customWidth="1"/>
    <col min="5114" max="5114" width="26.69921875" customWidth="1"/>
    <col min="5115" max="5115" width="8.3984375" customWidth="1"/>
    <col min="5116" max="5117" width="7.69921875" customWidth="1"/>
    <col min="5118" max="5118" width="7.09765625" customWidth="1"/>
    <col min="5119" max="5119" width="6.8984375" customWidth="1"/>
    <col min="5120" max="5121" width="7.69921875" customWidth="1"/>
    <col min="5122" max="5122" width="7.19921875" customWidth="1"/>
    <col min="5123" max="5123" width="7.3984375" customWidth="1"/>
    <col min="5124" max="5125" width="7.59765625" customWidth="1"/>
    <col min="5126" max="5126" width="6.69921875" customWidth="1"/>
    <col min="5127" max="5127" width="7.5" customWidth="1"/>
    <col min="5370" max="5370" width="26.69921875" customWidth="1"/>
    <col min="5371" max="5371" width="8.3984375" customWidth="1"/>
    <col min="5372" max="5373" width="7.69921875" customWidth="1"/>
    <col min="5374" max="5374" width="7.09765625" customWidth="1"/>
    <col min="5375" max="5375" width="6.8984375" customWidth="1"/>
    <col min="5376" max="5377" width="7.69921875" customWidth="1"/>
    <col min="5378" max="5378" width="7.19921875" customWidth="1"/>
    <col min="5379" max="5379" width="7.3984375" customWidth="1"/>
    <col min="5380" max="5381" width="7.59765625" customWidth="1"/>
    <col min="5382" max="5382" width="6.69921875" customWidth="1"/>
    <col min="5383" max="5383" width="7.5" customWidth="1"/>
    <col min="5626" max="5626" width="26.69921875" customWidth="1"/>
    <col min="5627" max="5627" width="8.3984375" customWidth="1"/>
    <col min="5628" max="5629" width="7.69921875" customWidth="1"/>
    <col min="5630" max="5630" width="7.09765625" customWidth="1"/>
    <col min="5631" max="5631" width="6.8984375" customWidth="1"/>
    <col min="5632" max="5633" width="7.69921875" customWidth="1"/>
    <col min="5634" max="5634" width="7.19921875" customWidth="1"/>
    <col min="5635" max="5635" width="7.3984375" customWidth="1"/>
    <col min="5636" max="5637" width="7.59765625" customWidth="1"/>
    <col min="5638" max="5638" width="6.69921875" customWidth="1"/>
    <col min="5639" max="5639" width="7.5" customWidth="1"/>
    <col min="5882" max="5882" width="26.69921875" customWidth="1"/>
    <col min="5883" max="5883" width="8.3984375" customWidth="1"/>
    <col min="5884" max="5885" width="7.69921875" customWidth="1"/>
    <col min="5886" max="5886" width="7.09765625" customWidth="1"/>
    <col min="5887" max="5887" width="6.8984375" customWidth="1"/>
    <col min="5888" max="5889" width="7.69921875" customWidth="1"/>
    <col min="5890" max="5890" width="7.19921875" customWidth="1"/>
    <col min="5891" max="5891" width="7.3984375" customWidth="1"/>
    <col min="5892" max="5893" width="7.59765625" customWidth="1"/>
    <col min="5894" max="5894" width="6.69921875" customWidth="1"/>
    <col min="5895" max="5895" width="7.5" customWidth="1"/>
    <col min="6138" max="6138" width="26.69921875" customWidth="1"/>
    <col min="6139" max="6139" width="8.3984375" customWidth="1"/>
    <col min="6140" max="6141" width="7.69921875" customWidth="1"/>
    <col min="6142" max="6142" width="7.09765625" customWidth="1"/>
    <col min="6143" max="6143" width="6.8984375" customWidth="1"/>
    <col min="6144" max="6145" width="7.69921875" customWidth="1"/>
    <col min="6146" max="6146" width="7.19921875" customWidth="1"/>
    <col min="6147" max="6147" width="7.3984375" customWidth="1"/>
    <col min="6148" max="6149" width="7.59765625" customWidth="1"/>
    <col min="6150" max="6150" width="6.69921875" customWidth="1"/>
    <col min="6151" max="6151" width="7.5" customWidth="1"/>
    <col min="6394" max="6394" width="26.69921875" customWidth="1"/>
    <col min="6395" max="6395" width="8.3984375" customWidth="1"/>
    <col min="6396" max="6397" width="7.69921875" customWidth="1"/>
    <col min="6398" max="6398" width="7.09765625" customWidth="1"/>
    <col min="6399" max="6399" width="6.8984375" customWidth="1"/>
    <col min="6400" max="6401" width="7.69921875" customWidth="1"/>
    <col min="6402" max="6402" width="7.19921875" customWidth="1"/>
    <col min="6403" max="6403" width="7.3984375" customWidth="1"/>
    <col min="6404" max="6405" width="7.59765625" customWidth="1"/>
    <col min="6406" max="6406" width="6.69921875" customWidth="1"/>
    <col min="6407" max="6407" width="7.5" customWidth="1"/>
    <col min="6650" max="6650" width="26.69921875" customWidth="1"/>
    <col min="6651" max="6651" width="8.3984375" customWidth="1"/>
    <col min="6652" max="6653" width="7.69921875" customWidth="1"/>
    <col min="6654" max="6654" width="7.09765625" customWidth="1"/>
    <col min="6655" max="6655" width="6.8984375" customWidth="1"/>
    <col min="6656" max="6657" width="7.69921875" customWidth="1"/>
    <col min="6658" max="6658" width="7.19921875" customWidth="1"/>
    <col min="6659" max="6659" width="7.3984375" customWidth="1"/>
    <col min="6660" max="6661" width="7.59765625" customWidth="1"/>
    <col min="6662" max="6662" width="6.69921875" customWidth="1"/>
    <col min="6663" max="6663" width="7.5" customWidth="1"/>
    <col min="6906" max="6906" width="26.69921875" customWidth="1"/>
    <col min="6907" max="6907" width="8.3984375" customWidth="1"/>
    <col min="6908" max="6909" width="7.69921875" customWidth="1"/>
    <col min="6910" max="6910" width="7.09765625" customWidth="1"/>
    <col min="6911" max="6911" width="6.8984375" customWidth="1"/>
    <col min="6912" max="6913" width="7.69921875" customWidth="1"/>
    <col min="6914" max="6914" width="7.19921875" customWidth="1"/>
    <col min="6915" max="6915" width="7.3984375" customWidth="1"/>
    <col min="6916" max="6917" width="7.59765625" customWidth="1"/>
    <col min="6918" max="6918" width="6.69921875" customWidth="1"/>
    <col min="6919" max="6919" width="7.5" customWidth="1"/>
    <col min="7162" max="7162" width="26.69921875" customWidth="1"/>
    <col min="7163" max="7163" width="8.3984375" customWidth="1"/>
    <col min="7164" max="7165" width="7.69921875" customWidth="1"/>
    <col min="7166" max="7166" width="7.09765625" customWidth="1"/>
    <col min="7167" max="7167" width="6.8984375" customWidth="1"/>
    <col min="7168" max="7169" width="7.69921875" customWidth="1"/>
    <col min="7170" max="7170" width="7.19921875" customWidth="1"/>
    <col min="7171" max="7171" width="7.3984375" customWidth="1"/>
    <col min="7172" max="7173" width="7.59765625" customWidth="1"/>
    <col min="7174" max="7174" width="6.69921875" customWidth="1"/>
    <col min="7175" max="7175" width="7.5" customWidth="1"/>
    <col min="7418" max="7418" width="26.69921875" customWidth="1"/>
    <col min="7419" max="7419" width="8.3984375" customWidth="1"/>
    <col min="7420" max="7421" width="7.69921875" customWidth="1"/>
    <col min="7422" max="7422" width="7.09765625" customWidth="1"/>
    <col min="7423" max="7423" width="6.8984375" customWidth="1"/>
    <col min="7424" max="7425" width="7.69921875" customWidth="1"/>
    <col min="7426" max="7426" width="7.19921875" customWidth="1"/>
    <col min="7427" max="7427" width="7.3984375" customWidth="1"/>
    <col min="7428" max="7429" width="7.59765625" customWidth="1"/>
    <col min="7430" max="7430" width="6.69921875" customWidth="1"/>
    <col min="7431" max="7431" width="7.5" customWidth="1"/>
    <col min="7674" max="7674" width="26.69921875" customWidth="1"/>
    <col min="7675" max="7675" width="8.3984375" customWidth="1"/>
    <col min="7676" max="7677" width="7.69921875" customWidth="1"/>
    <col min="7678" max="7678" width="7.09765625" customWidth="1"/>
    <col min="7679" max="7679" width="6.8984375" customWidth="1"/>
    <col min="7680" max="7681" width="7.69921875" customWidth="1"/>
    <col min="7682" max="7682" width="7.19921875" customWidth="1"/>
    <col min="7683" max="7683" width="7.3984375" customWidth="1"/>
    <col min="7684" max="7685" width="7.59765625" customWidth="1"/>
    <col min="7686" max="7686" width="6.69921875" customWidth="1"/>
    <col min="7687" max="7687" width="7.5" customWidth="1"/>
    <col min="7930" max="7930" width="26.69921875" customWidth="1"/>
    <col min="7931" max="7931" width="8.3984375" customWidth="1"/>
    <col min="7932" max="7933" width="7.69921875" customWidth="1"/>
    <col min="7934" max="7934" width="7.09765625" customWidth="1"/>
    <col min="7935" max="7935" width="6.8984375" customWidth="1"/>
    <col min="7936" max="7937" width="7.69921875" customWidth="1"/>
    <col min="7938" max="7938" width="7.19921875" customWidth="1"/>
    <col min="7939" max="7939" width="7.3984375" customWidth="1"/>
    <col min="7940" max="7941" width="7.59765625" customWidth="1"/>
    <col min="7942" max="7942" width="6.69921875" customWidth="1"/>
    <col min="7943" max="7943" width="7.5" customWidth="1"/>
    <col min="8186" max="8186" width="26.69921875" customWidth="1"/>
    <col min="8187" max="8187" width="8.3984375" customWidth="1"/>
    <col min="8188" max="8189" width="7.69921875" customWidth="1"/>
    <col min="8190" max="8190" width="7.09765625" customWidth="1"/>
    <col min="8191" max="8191" width="6.8984375" customWidth="1"/>
    <col min="8192" max="8193" width="7.69921875" customWidth="1"/>
    <col min="8194" max="8194" width="7.19921875" customWidth="1"/>
    <col min="8195" max="8195" width="7.3984375" customWidth="1"/>
    <col min="8196" max="8197" width="7.59765625" customWidth="1"/>
    <col min="8198" max="8198" width="6.69921875" customWidth="1"/>
    <col min="8199" max="8199" width="7.5" customWidth="1"/>
    <col min="8442" max="8442" width="26.69921875" customWidth="1"/>
    <col min="8443" max="8443" width="8.3984375" customWidth="1"/>
    <col min="8444" max="8445" width="7.69921875" customWidth="1"/>
    <col min="8446" max="8446" width="7.09765625" customWidth="1"/>
    <col min="8447" max="8447" width="6.8984375" customWidth="1"/>
    <col min="8448" max="8449" width="7.69921875" customWidth="1"/>
    <col min="8450" max="8450" width="7.19921875" customWidth="1"/>
    <col min="8451" max="8451" width="7.3984375" customWidth="1"/>
    <col min="8452" max="8453" width="7.59765625" customWidth="1"/>
    <col min="8454" max="8454" width="6.69921875" customWidth="1"/>
    <col min="8455" max="8455" width="7.5" customWidth="1"/>
    <col min="8698" max="8698" width="26.69921875" customWidth="1"/>
    <col min="8699" max="8699" width="8.3984375" customWidth="1"/>
    <col min="8700" max="8701" width="7.69921875" customWidth="1"/>
    <col min="8702" max="8702" width="7.09765625" customWidth="1"/>
    <col min="8703" max="8703" width="6.8984375" customWidth="1"/>
    <col min="8704" max="8705" width="7.69921875" customWidth="1"/>
    <col min="8706" max="8706" width="7.19921875" customWidth="1"/>
    <col min="8707" max="8707" width="7.3984375" customWidth="1"/>
    <col min="8708" max="8709" width="7.59765625" customWidth="1"/>
    <col min="8710" max="8710" width="6.69921875" customWidth="1"/>
    <col min="8711" max="8711" width="7.5" customWidth="1"/>
    <col min="8954" max="8954" width="26.69921875" customWidth="1"/>
    <col min="8955" max="8955" width="8.3984375" customWidth="1"/>
    <col min="8956" max="8957" width="7.69921875" customWidth="1"/>
    <col min="8958" max="8958" width="7.09765625" customWidth="1"/>
    <col min="8959" max="8959" width="6.8984375" customWidth="1"/>
    <col min="8960" max="8961" width="7.69921875" customWidth="1"/>
    <col min="8962" max="8962" width="7.19921875" customWidth="1"/>
    <col min="8963" max="8963" width="7.3984375" customWidth="1"/>
    <col min="8964" max="8965" width="7.59765625" customWidth="1"/>
    <col min="8966" max="8966" width="6.69921875" customWidth="1"/>
    <col min="8967" max="8967" width="7.5" customWidth="1"/>
    <col min="9210" max="9210" width="26.69921875" customWidth="1"/>
    <col min="9211" max="9211" width="8.3984375" customWidth="1"/>
    <col min="9212" max="9213" width="7.69921875" customWidth="1"/>
    <col min="9214" max="9214" width="7.09765625" customWidth="1"/>
    <col min="9215" max="9215" width="6.8984375" customWidth="1"/>
    <col min="9216" max="9217" width="7.69921875" customWidth="1"/>
    <col min="9218" max="9218" width="7.19921875" customWidth="1"/>
    <col min="9219" max="9219" width="7.3984375" customWidth="1"/>
    <col min="9220" max="9221" width="7.59765625" customWidth="1"/>
    <col min="9222" max="9222" width="6.69921875" customWidth="1"/>
    <col min="9223" max="9223" width="7.5" customWidth="1"/>
    <col min="9466" max="9466" width="26.69921875" customWidth="1"/>
    <col min="9467" max="9467" width="8.3984375" customWidth="1"/>
    <col min="9468" max="9469" width="7.69921875" customWidth="1"/>
    <col min="9470" max="9470" width="7.09765625" customWidth="1"/>
    <col min="9471" max="9471" width="6.8984375" customWidth="1"/>
    <col min="9472" max="9473" width="7.69921875" customWidth="1"/>
    <col min="9474" max="9474" width="7.19921875" customWidth="1"/>
    <col min="9475" max="9475" width="7.3984375" customWidth="1"/>
    <col min="9476" max="9477" width="7.59765625" customWidth="1"/>
    <col min="9478" max="9478" width="6.69921875" customWidth="1"/>
    <col min="9479" max="9479" width="7.5" customWidth="1"/>
    <col min="9722" max="9722" width="26.69921875" customWidth="1"/>
    <col min="9723" max="9723" width="8.3984375" customWidth="1"/>
    <col min="9724" max="9725" width="7.69921875" customWidth="1"/>
    <col min="9726" max="9726" width="7.09765625" customWidth="1"/>
    <col min="9727" max="9727" width="6.8984375" customWidth="1"/>
    <col min="9728" max="9729" width="7.69921875" customWidth="1"/>
    <col min="9730" max="9730" width="7.19921875" customWidth="1"/>
    <col min="9731" max="9731" width="7.3984375" customWidth="1"/>
    <col min="9732" max="9733" width="7.59765625" customWidth="1"/>
    <col min="9734" max="9734" width="6.69921875" customWidth="1"/>
    <col min="9735" max="9735" width="7.5" customWidth="1"/>
    <col min="9978" max="9978" width="26.69921875" customWidth="1"/>
    <col min="9979" max="9979" width="8.3984375" customWidth="1"/>
    <col min="9980" max="9981" width="7.69921875" customWidth="1"/>
    <col min="9982" max="9982" width="7.09765625" customWidth="1"/>
    <col min="9983" max="9983" width="6.8984375" customWidth="1"/>
    <col min="9984" max="9985" width="7.69921875" customWidth="1"/>
    <col min="9986" max="9986" width="7.19921875" customWidth="1"/>
    <col min="9987" max="9987" width="7.3984375" customWidth="1"/>
    <col min="9988" max="9989" width="7.59765625" customWidth="1"/>
    <col min="9990" max="9990" width="6.69921875" customWidth="1"/>
    <col min="9991" max="9991" width="7.5" customWidth="1"/>
    <col min="10234" max="10234" width="26.69921875" customWidth="1"/>
    <col min="10235" max="10235" width="8.3984375" customWidth="1"/>
    <col min="10236" max="10237" width="7.69921875" customWidth="1"/>
    <col min="10238" max="10238" width="7.09765625" customWidth="1"/>
    <col min="10239" max="10239" width="6.8984375" customWidth="1"/>
    <col min="10240" max="10241" width="7.69921875" customWidth="1"/>
    <col min="10242" max="10242" width="7.19921875" customWidth="1"/>
    <col min="10243" max="10243" width="7.3984375" customWidth="1"/>
    <col min="10244" max="10245" width="7.59765625" customWidth="1"/>
    <col min="10246" max="10246" width="6.69921875" customWidth="1"/>
    <col min="10247" max="10247" width="7.5" customWidth="1"/>
    <col min="10490" max="10490" width="26.69921875" customWidth="1"/>
    <col min="10491" max="10491" width="8.3984375" customWidth="1"/>
    <col min="10492" max="10493" width="7.69921875" customWidth="1"/>
    <col min="10494" max="10494" width="7.09765625" customWidth="1"/>
    <col min="10495" max="10495" width="6.8984375" customWidth="1"/>
    <col min="10496" max="10497" width="7.69921875" customWidth="1"/>
    <col min="10498" max="10498" width="7.19921875" customWidth="1"/>
    <col min="10499" max="10499" width="7.3984375" customWidth="1"/>
    <col min="10500" max="10501" width="7.59765625" customWidth="1"/>
    <col min="10502" max="10502" width="6.69921875" customWidth="1"/>
    <col min="10503" max="10503" width="7.5" customWidth="1"/>
    <col min="10746" max="10746" width="26.69921875" customWidth="1"/>
    <col min="10747" max="10747" width="8.3984375" customWidth="1"/>
    <col min="10748" max="10749" width="7.69921875" customWidth="1"/>
    <col min="10750" max="10750" width="7.09765625" customWidth="1"/>
    <col min="10751" max="10751" width="6.8984375" customWidth="1"/>
    <col min="10752" max="10753" width="7.69921875" customWidth="1"/>
    <col min="10754" max="10754" width="7.19921875" customWidth="1"/>
    <col min="10755" max="10755" width="7.3984375" customWidth="1"/>
    <col min="10756" max="10757" width="7.59765625" customWidth="1"/>
    <col min="10758" max="10758" width="6.69921875" customWidth="1"/>
    <col min="10759" max="10759" width="7.5" customWidth="1"/>
    <col min="11002" max="11002" width="26.69921875" customWidth="1"/>
    <col min="11003" max="11003" width="8.3984375" customWidth="1"/>
    <col min="11004" max="11005" width="7.69921875" customWidth="1"/>
    <col min="11006" max="11006" width="7.09765625" customWidth="1"/>
    <col min="11007" max="11007" width="6.8984375" customWidth="1"/>
    <col min="11008" max="11009" width="7.69921875" customWidth="1"/>
    <col min="11010" max="11010" width="7.19921875" customWidth="1"/>
    <col min="11011" max="11011" width="7.3984375" customWidth="1"/>
    <col min="11012" max="11013" width="7.59765625" customWidth="1"/>
    <col min="11014" max="11014" width="6.69921875" customWidth="1"/>
    <col min="11015" max="11015" width="7.5" customWidth="1"/>
    <col min="11258" max="11258" width="26.69921875" customWidth="1"/>
    <col min="11259" max="11259" width="8.3984375" customWidth="1"/>
    <col min="11260" max="11261" width="7.69921875" customWidth="1"/>
    <col min="11262" max="11262" width="7.09765625" customWidth="1"/>
    <col min="11263" max="11263" width="6.8984375" customWidth="1"/>
    <col min="11264" max="11265" width="7.69921875" customWidth="1"/>
    <col min="11266" max="11266" width="7.19921875" customWidth="1"/>
    <col min="11267" max="11267" width="7.3984375" customWidth="1"/>
    <col min="11268" max="11269" width="7.59765625" customWidth="1"/>
    <col min="11270" max="11270" width="6.69921875" customWidth="1"/>
    <col min="11271" max="11271" width="7.5" customWidth="1"/>
    <col min="11514" max="11514" width="26.69921875" customWidth="1"/>
    <col min="11515" max="11515" width="8.3984375" customWidth="1"/>
    <col min="11516" max="11517" width="7.69921875" customWidth="1"/>
    <col min="11518" max="11518" width="7.09765625" customWidth="1"/>
    <col min="11519" max="11519" width="6.8984375" customWidth="1"/>
    <col min="11520" max="11521" width="7.69921875" customWidth="1"/>
    <col min="11522" max="11522" width="7.19921875" customWidth="1"/>
    <col min="11523" max="11523" width="7.3984375" customWidth="1"/>
    <col min="11524" max="11525" width="7.59765625" customWidth="1"/>
    <col min="11526" max="11526" width="6.69921875" customWidth="1"/>
    <col min="11527" max="11527" width="7.5" customWidth="1"/>
    <col min="11770" max="11770" width="26.69921875" customWidth="1"/>
    <col min="11771" max="11771" width="8.3984375" customWidth="1"/>
    <col min="11772" max="11773" width="7.69921875" customWidth="1"/>
    <col min="11774" max="11774" width="7.09765625" customWidth="1"/>
    <col min="11775" max="11775" width="6.8984375" customWidth="1"/>
    <col min="11776" max="11777" width="7.69921875" customWidth="1"/>
    <col min="11778" max="11778" width="7.19921875" customWidth="1"/>
    <col min="11779" max="11779" width="7.3984375" customWidth="1"/>
    <col min="11780" max="11781" width="7.59765625" customWidth="1"/>
    <col min="11782" max="11782" width="6.69921875" customWidth="1"/>
    <col min="11783" max="11783" width="7.5" customWidth="1"/>
    <col min="12026" max="12026" width="26.69921875" customWidth="1"/>
    <col min="12027" max="12027" width="8.3984375" customWidth="1"/>
    <col min="12028" max="12029" width="7.69921875" customWidth="1"/>
    <col min="12030" max="12030" width="7.09765625" customWidth="1"/>
    <col min="12031" max="12031" width="6.8984375" customWidth="1"/>
    <col min="12032" max="12033" width="7.69921875" customWidth="1"/>
    <col min="12034" max="12034" width="7.19921875" customWidth="1"/>
    <col min="12035" max="12035" width="7.3984375" customWidth="1"/>
    <col min="12036" max="12037" width="7.59765625" customWidth="1"/>
    <col min="12038" max="12038" width="6.69921875" customWidth="1"/>
    <col min="12039" max="12039" width="7.5" customWidth="1"/>
    <col min="12282" max="12282" width="26.69921875" customWidth="1"/>
    <col min="12283" max="12283" width="8.3984375" customWidth="1"/>
    <col min="12284" max="12285" width="7.69921875" customWidth="1"/>
    <col min="12286" max="12286" width="7.09765625" customWidth="1"/>
    <col min="12287" max="12287" width="6.8984375" customWidth="1"/>
    <col min="12288" max="12289" width="7.69921875" customWidth="1"/>
    <col min="12290" max="12290" width="7.19921875" customWidth="1"/>
    <col min="12291" max="12291" width="7.3984375" customWidth="1"/>
    <col min="12292" max="12293" width="7.59765625" customWidth="1"/>
    <col min="12294" max="12294" width="6.69921875" customWidth="1"/>
    <col min="12295" max="12295" width="7.5" customWidth="1"/>
    <col min="12538" max="12538" width="26.69921875" customWidth="1"/>
    <col min="12539" max="12539" width="8.3984375" customWidth="1"/>
    <col min="12540" max="12541" width="7.69921875" customWidth="1"/>
    <col min="12542" max="12542" width="7.09765625" customWidth="1"/>
    <col min="12543" max="12543" width="6.8984375" customWidth="1"/>
    <col min="12544" max="12545" width="7.69921875" customWidth="1"/>
    <col min="12546" max="12546" width="7.19921875" customWidth="1"/>
    <col min="12547" max="12547" width="7.3984375" customWidth="1"/>
    <col min="12548" max="12549" width="7.59765625" customWidth="1"/>
    <col min="12550" max="12550" width="6.69921875" customWidth="1"/>
    <col min="12551" max="12551" width="7.5" customWidth="1"/>
    <col min="12794" max="12794" width="26.69921875" customWidth="1"/>
    <col min="12795" max="12795" width="8.3984375" customWidth="1"/>
    <col min="12796" max="12797" width="7.69921875" customWidth="1"/>
    <col min="12798" max="12798" width="7.09765625" customWidth="1"/>
    <col min="12799" max="12799" width="6.8984375" customWidth="1"/>
    <col min="12800" max="12801" width="7.69921875" customWidth="1"/>
    <col min="12802" max="12802" width="7.19921875" customWidth="1"/>
    <col min="12803" max="12803" width="7.3984375" customWidth="1"/>
    <col min="12804" max="12805" width="7.59765625" customWidth="1"/>
    <col min="12806" max="12806" width="6.69921875" customWidth="1"/>
    <col min="12807" max="12807" width="7.5" customWidth="1"/>
    <col min="13050" max="13050" width="26.69921875" customWidth="1"/>
    <col min="13051" max="13051" width="8.3984375" customWidth="1"/>
    <col min="13052" max="13053" width="7.69921875" customWidth="1"/>
    <col min="13054" max="13054" width="7.09765625" customWidth="1"/>
    <col min="13055" max="13055" width="6.8984375" customWidth="1"/>
    <col min="13056" max="13057" width="7.69921875" customWidth="1"/>
    <col min="13058" max="13058" width="7.19921875" customWidth="1"/>
    <col min="13059" max="13059" width="7.3984375" customWidth="1"/>
    <col min="13060" max="13061" width="7.59765625" customWidth="1"/>
    <col min="13062" max="13062" width="6.69921875" customWidth="1"/>
    <col min="13063" max="13063" width="7.5" customWidth="1"/>
    <col min="13306" max="13306" width="26.69921875" customWidth="1"/>
    <col min="13307" max="13307" width="8.3984375" customWidth="1"/>
    <col min="13308" max="13309" width="7.69921875" customWidth="1"/>
    <col min="13310" max="13310" width="7.09765625" customWidth="1"/>
    <col min="13311" max="13311" width="6.8984375" customWidth="1"/>
    <col min="13312" max="13313" width="7.69921875" customWidth="1"/>
    <col min="13314" max="13314" width="7.19921875" customWidth="1"/>
    <col min="13315" max="13315" width="7.3984375" customWidth="1"/>
    <col min="13316" max="13317" width="7.59765625" customWidth="1"/>
    <col min="13318" max="13318" width="6.69921875" customWidth="1"/>
    <col min="13319" max="13319" width="7.5" customWidth="1"/>
    <col min="13562" max="13562" width="26.69921875" customWidth="1"/>
    <col min="13563" max="13563" width="8.3984375" customWidth="1"/>
    <col min="13564" max="13565" width="7.69921875" customWidth="1"/>
    <col min="13566" max="13566" width="7.09765625" customWidth="1"/>
    <col min="13567" max="13567" width="6.8984375" customWidth="1"/>
    <col min="13568" max="13569" width="7.69921875" customWidth="1"/>
    <col min="13570" max="13570" width="7.19921875" customWidth="1"/>
    <col min="13571" max="13571" width="7.3984375" customWidth="1"/>
    <col min="13572" max="13573" width="7.59765625" customWidth="1"/>
    <col min="13574" max="13574" width="6.69921875" customWidth="1"/>
    <col min="13575" max="13575" width="7.5" customWidth="1"/>
    <col min="13818" max="13818" width="26.69921875" customWidth="1"/>
    <col min="13819" max="13819" width="8.3984375" customWidth="1"/>
    <col min="13820" max="13821" width="7.69921875" customWidth="1"/>
    <col min="13822" max="13822" width="7.09765625" customWidth="1"/>
    <col min="13823" max="13823" width="6.8984375" customWidth="1"/>
    <col min="13824" max="13825" width="7.69921875" customWidth="1"/>
    <col min="13826" max="13826" width="7.19921875" customWidth="1"/>
    <col min="13827" max="13827" width="7.3984375" customWidth="1"/>
    <col min="13828" max="13829" width="7.59765625" customWidth="1"/>
    <col min="13830" max="13830" width="6.69921875" customWidth="1"/>
    <col min="13831" max="13831" width="7.5" customWidth="1"/>
    <col min="14074" max="14074" width="26.69921875" customWidth="1"/>
    <col min="14075" max="14075" width="8.3984375" customWidth="1"/>
    <col min="14076" max="14077" width="7.69921875" customWidth="1"/>
    <col min="14078" max="14078" width="7.09765625" customWidth="1"/>
    <col min="14079" max="14079" width="6.8984375" customWidth="1"/>
    <col min="14080" max="14081" width="7.69921875" customWidth="1"/>
    <col min="14082" max="14082" width="7.19921875" customWidth="1"/>
    <col min="14083" max="14083" width="7.3984375" customWidth="1"/>
    <col min="14084" max="14085" width="7.59765625" customWidth="1"/>
    <col min="14086" max="14086" width="6.69921875" customWidth="1"/>
    <col min="14087" max="14087" width="7.5" customWidth="1"/>
    <col min="14330" max="14330" width="26.69921875" customWidth="1"/>
    <col min="14331" max="14331" width="8.3984375" customWidth="1"/>
    <col min="14332" max="14333" width="7.69921875" customWidth="1"/>
    <col min="14334" max="14334" width="7.09765625" customWidth="1"/>
    <col min="14335" max="14335" width="6.8984375" customWidth="1"/>
    <col min="14336" max="14337" width="7.69921875" customWidth="1"/>
    <col min="14338" max="14338" width="7.19921875" customWidth="1"/>
    <col min="14339" max="14339" width="7.3984375" customWidth="1"/>
    <col min="14340" max="14341" width="7.59765625" customWidth="1"/>
    <col min="14342" max="14342" width="6.69921875" customWidth="1"/>
    <col min="14343" max="14343" width="7.5" customWidth="1"/>
    <col min="14586" max="14586" width="26.69921875" customWidth="1"/>
    <col min="14587" max="14587" width="8.3984375" customWidth="1"/>
    <col min="14588" max="14589" width="7.69921875" customWidth="1"/>
    <col min="14590" max="14590" width="7.09765625" customWidth="1"/>
    <col min="14591" max="14591" width="6.8984375" customWidth="1"/>
    <col min="14592" max="14593" width="7.69921875" customWidth="1"/>
    <col min="14594" max="14594" width="7.19921875" customWidth="1"/>
    <col min="14595" max="14595" width="7.3984375" customWidth="1"/>
    <col min="14596" max="14597" width="7.59765625" customWidth="1"/>
    <col min="14598" max="14598" width="6.69921875" customWidth="1"/>
    <col min="14599" max="14599" width="7.5" customWidth="1"/>
    <col min="14842" max="14842" width="26.69921875" customWidth="1"/>
    <col min="14843" max="14843" width="8.3984375" customWidth="1"/>
    <col min="14844" max="14845" width="7.69921875" customWidth="1"/>
    <col min="14846" max="14846" width="7.09765625" customWidth="1"/>
    <col min="14847" max="14847" width="6.8984375" customWidth="1"/>
    <col min="14848" max="14849" width="7.69921875" customWidth="1"/>
    <col min="14850" max="14850" width="7.19921875" customWidth="1"/>
    <col min="14851" max="14851" width="7.3984375" customWidth="1"/>
    <col min="14852" max="14853" width="7.59765625" customWidth="1"/>
    <col min="14854" max="14854" width="6.69921875" customWidth="1"/>
    <col min="14855" max="14855" width="7.5" customWidth="1"/>
    <col min="15098" max="15098" width="26.69921875" customWidth="1"/>
    <col min="15099" max="15099" width="8.3984375" customWidth="1"/>
    <col min="15100" max="15101" width="7.69921875" customWidth="1"/>
    <col min="15102" max="15102" width="7.09765625" customWidth="1"/>
    <col min="15103" max="15103" width="6.8984375" customWidth="1"/>
    <col min="15104" max="15105" width="7.69921875" customWidth="1"/>
    <col min="15106" max="15106" width="7.19921875" customWidth="1"/>
    <col min="15107" max="15107" width="7.3984375" customWidth="1"/>
    <col min="15108" max="15109" width="7.59765625" customWidth="1"/>
    <col min="15110" max="15110" width="6.69921875" customWidth="1"/>
    <col min="15111" max="15111" width="7.5" customWidth="1"/>
    <col min="15354" max="15354" width="26.69921875" customWidth="1"/>
    <col min="15355" max="15355" width="8.3984375" customWidth="1"/>
    <col min="15356" max="15357" width="7.69921875" customWidth="1"/>
    <col min="15358" max="15358" width="7.09765625" customWidth="1"/>
    <col min="15359" max="15359" width="6.8984375" customWidth="1"/>
    <col min="15360" max="15361" width="7.69921875" customWidth="1"/>
    <col min="15362" max="15362" width="7.19921875" customWidth="1"/>
    <col min="15363" max="15363" width="7.3984375" customWidth="1"/>
    <col min="15364" max="15365" width="7.59765625" customWidth="1"/>
    <col min="15366" max="15366" width="6.69921875" customWidth="1"/>
    <col min="15367" max="15367" width="7.5" customWidth="1"/>
    <col min="15610" max="15610" width="26.69921875" customWidth="1"/>
    <col min="15611" max="15611" width="8.3984375" customWidth="1"/>
    <col min="15612" max="15613" width="7.69921875" customWidth="1"/>
    <col min="15614" max="15614" width="7.09765625" customWidth="1"/>
    <col min="15615" max="15615" width="6.8984375" customWidth="1"/>
    <col min="15616" max="15617" width="7.69921875" customWidth="1"/>
    <col min="15618" max="15618" width="7.19921875" customWidth="1"/>
    <col min="15619" max="15619" width="7.3984375" customWidth="1"/>
    <col min="15620" max="15621" width="7.59765625" customWidth="1"/>
    <col min="15622" max="15622" width="6.69921875" customWidth="1"/>
    <col min="15623" max="15623" width="7.5" customWidth="1"/>
    <col min="15866" max="15866" width="26.69921875" customWidth="1"/>
    <col min="15867" max="15867" width="8.3984375" customWidth="1"/>
    <col min="15868" max="15869" width="7.69921875" customWidth="1"/>
    <col min="15870" max="15870" width="7.09765625" customWidth="1"/>
    <col min="15871" max="15871" width="6.8984375" customWidth="1"/>
    <col min="15872" max="15873" width="7.69921875" customWidth="1"/>
    <col min="15874" max="15874" width="7.19921875" customWidth="1"/>
    <col min="15875" max="15875" width="7.3984375" customWidth="1"/>
    <col min="15876" max="15877" width="7.59765625" customWidth="1"/>
    <col min="15878" max="15878" width="6.69921875" customWidth="1"/>
    <col min="15879" max="15879" width="7.5" customWidth="1"/>
    <col min="16122" max="16122" width="26.69921875" customWidth="1"/>
    <col min="16123" max="16123" width="8.3984375" customWidth="1"/>
    <col min="16124" max="16125" width="7.69921875" customWidth="1"/>
    <col min="16126" max="16126" width="7.09765625" customWidth="1"/>
    <col min="16127" max="16127" width="6.8984375" customWidth="1"/>
    <col min="16128" max="16129" width="7.69921875" customWidth="1"/>
    <col min="16130" max="16130" width="7.19921875" customWidth="1"/>
    <col min="16131" max="16131" width="7.3984375" customWidth="1"/>
    <col min="16132" max="16133" width="7.59765625" customWidth="1"/>
    <col min="16134" max="16134" width="6.69921875" customWidth="1"/>
    <col min="16135" max="16135" width="7.5" customWidth="1"/>
  </cols>
  <sheetData>
    <row r="1" spans="2:8" ht="24.9" customHeight="1" x14ac:dyDescent="0.3"/>
    <row r="2" spans="2:8" ht="24.9" customHeight="1" x14ac:dyDescent="0.3">
      <c r="B2" s="267" t="s">
        <v>122</v>
      </c>
      <c r="C2" s="268"/>
      <c r="D2" s="268"/>
      <c r="E2" s="268"/>
      <c r="F2" s="268"/>
      <c r="G2" s="268"/>
    </row>
    <row r="3" spans="2:8" s="43" customFormat="1" ht="15.75" customHeight="1" x14ac:dyDescent="0.3">
      <c r="B3" s="194"/>
      <c r="C3" s="194"/>
      <c r="D3" s="194"/>
      <c r="E3" s="194"/>
      <c r="F3" s="194"/>
      <c r="G3" s="194"/>
    </row>
    <row r="4" spans="2:8" s="43" customFormat="1" ht="15.75" customHeight="1" x14ac:dyDescent="0.3">
      <c r="B4" s="195" t="s">
        <v>21</v>
      </c>
      <c r="C4" s="194"/>
      <c r="D4" s="194"/>
      <c r="E4" s="194"/>
      <c r="F4" s="194"/>
      <c r="G4" s="194"/>
    </row>
    <row r="5" spans="2:8" s="43" customFormat="1" ht="15.75" customHeight="1" x14ac:dyDescent="0.3"/>
    <row r="6" spans="2:8" ht="31.2" x14ac:dyDescent="0.3">
      <c r="B6" s="22"/>
      <c r="C6" s="65" t="s">
        <v>7</v>
      </c>
      <c r="D6" s="65" t="s">
        <v>104</v>
      </c>
      <c r="E6" s="65" t="s">
        <v>0</v>
      </c>
      <c r="F6" s="65" t="s">
        <v>94</v>
      </c>
      <c r="G6" s="65" t="s">
        <v>95</v>
      </c>
      <c r="H6" s="22"/>
    </row>
    <row r="7" spans="2:8" x14ac:dyDescent="0.3">
      <c r="B7" s="40"/>
      <c r="C7" s="41"/>
      <c r="D7" s="41"/>
      <c r="E7" s="41"/>
      <c r="F7" s="41"/>
      <c r="G7" s="41"/>
      <c r="H7" s="22"/>
    </row>
    <row r="8" spans="2:8" x14ac:dyDescent="0.3">
      <c r="B8" s="196" t="s">
        <v>55</v>
      </c>
      <c r="C8" s="197">
        <v>410.76000000000005</v>
      </c>
      <c r="D8" s="197">
        <f>(C8/$C$19)*100</f>
        <v>73.174902910891802</v>
      </c>
      <c r="E8" s="197">
        <v>443.51</v>
      </c>
      <c r="F8" s="198">
        <f>((C8-E8)/E8)*100</f>
        <v>-7.3842754391107173</v>
      </c>
      <c r="G8" s="122">
        <f>C8-E8</f>
        <v>-32.749999999999943</v>
      </c>
      <c r="H8" s="22"/>
    </row>
    <row r="9" spans="2:8" x14ac:dyDescent="0.3">
      <c r="B9" s="40" t="s">
        <v>18</v>
      </c>
      <c r="C9" s="42">
        <v>372.07000000000005</v>
      </c>
      <c r="D9" s="42">
        <f t="shared" ref="D9:D19" si="0">(C9/$C$19)*100</f>
        <v>66.282466954074181</v>
      </c>
      <c r="E9" s="42">
        <v>403.63</v>
      </c>
      <c r="F9" s="44">
        <f>((C9-E9)/E9)*100</f>
        <v>-7.8190421921066191</v>
      </c>
      <c r="G9" s="47">
        <f>C9-E9</f>
        <v>-31.559999999999945</v>
      </c>
      <c r="H9" s="22"/>
    </row>
    <row r="10" spans="2:8" x14ac:dyDescent="0.3">
      <c r="B10" s="40" t="s">
        <v>56</v>
      </c>
      <c r="C10" s="42">
        <v>38.69</v>
      </c>
      <c r="D10" s="42">
        <f t="shared" si="0"/>
        <v>6.8924359568176135</v>
      </c>
      <c r="E10" s="42">
        <v>39.880000000000003</v>
      </c>
      <c r="F10" s="44">
        <f>((C10-E10)/E10)*100</f>
        <v>-2.9839518555667119</v>
      </c>
      <c r="G10" s="47">
        <f>C10-E10</f>
        <v>-1.1900000000000048</v>
      </c>
      <c r="H10" s="22"/>
    </row>
    <row r="11" spans="2:8" x14ac:dyDescent="0.3">
      <c r="B11" s="40"/>
      <c r="C11" s="42"/>
      <c r="D11" s="42"/>
      <c r="E11" s="42"/>
      <c r="F11" s="46"/>
      <c r="G11" s="45"/>
      <c r="H11" s="22"/>
    </row>
    <row r="12" spans="2:8" x14ac:dyDescent="0.3">
      <c r="B12" s="196" t="s">
        <v>57</v>
      </c>
      <c r="C12" s="197">
        <f>+C13+C14</f>
        <v>142.91</v>
      </c>
      <c r="D12" s="197">
        <f t="shared" si="0"/>
        <v>25.458723768126269</v>
      </c>
      <c r="E12" s="197">
        <v>144.82</v>
      </c>
      <c r="F12" s="198">
        <f>((C12-E12)/E12)*100</f>
        <v>-1.3188786079270796</v>
      </c>
      <c r="G12" s="122">
        <f>C12-E12</f>
        <v>-1.9099999999999966</v>
      </c>
      <c r="H12" s="22"/>
    </row>
    <row r="13" spans="2:8" x14ac:dyDescent="0.3">
      <c r="B13" s="40" t="s">
        <v>58</v>
      </c>
      <c r="C13" s="42">
        <v>81.819999999999993</v>
      </c>
      <c r="D13" s="42">
        <f t="shared" si="0"/>
        <v>14.575836391491787</v>
      </c>
      <c r="E13" s="42">
        <v>79.86</v>
      </c>
      <c r="F13" s="44">
        <f>((C13-E13)/E13)*100</f>
        <v>2.4542950162784796</v>
      </c>
      <c r="G13" s="47">
        <f>C13-E13</f>
        <v>1.9599999999999937</v>
      </c>
      <c r="H13" s="22"/>
    </row>
    <row r="14" spans="2:8" x14ac:dyDescent="0.3">
      <c r="B14" s="40" t="s">
        <v>59</v>
      </c>
      <c r="C14" s="42">
        <v>61.09</v>
      </c>
      <c r="D14" s="42">
        <f t="shared" si="0"/>
        <v>10.882887376634482</v>
      </c>
      <c r="E14" s="42">
        <v>64.959999999999994</v>
      </c>
      <c r="F14" s="44">
        <f>((C14-E14)/E14)*100</f>
        <v>-5.9575123152709217</v>
      </c>
      <c r="G14" s="47">
        <f>C14-E14</f>
        <v>-3.8699999999999903</v>
      </c>
      <c r="H14" s="22"/>
    </row>
    <row r="15" spans="2:8" x14ac:dyDescent="0.3">
      <c r="B15" s="40"/>
      <c r="C15" s="42"/>
      <c r="D15" s="42"/>
      <c r="E15" s="42"/>
      <c r="F15" s="46"/>
      <c r="G15" s="45"/>
      <c r="H15" s="22"/>
    </row>
    <row r="16" spans="2:8" x14ac:dyDescent="0.3">
      <c r="B16" s="196" t="s">
        <v>60</v>
      </c>
      <c r="C16" s="197">
        <v>7.67</v>
      </c>
      <c r="D16" s="197">
        <f t="shared" si="0"/>
        <v>1.366373320981936</v>
      </c>
      <c r="E16" s="197">
        <v>6.26</v>
      </c>
      <c r="F16" s="198">
        <f>((C16-E16)/E16)*100</f>
        <v>22.523961661341858</v>
      </c>
      <c r="G16" s="122">
        <f>C16-E16</f>
        <v>1.4100000000000001</v>
      </c>
      <c r="H16" s="22"/>
    </row>
    <row r="17" spans="2:8" x14ac:dyDescent="0.3">
      <c r="B17" s="40" t="s">
        <v>61</v>
      </c>
      <c r="C17" s="42">
        <v>7.67</v>
      </c>
      <c r="D17" s="42">
        <f t="shared" si="0"/>
        <v>1.366373320981936</v>
      </c>
      <c r="E17" s="42">
        <v>6.26</v>
      </c>
      <c r="F17" s="44">
        <f>((C17-E17)/E17)*100</f>
        <v>22.523961661341858</v>
      </c>
      <c r="G17" s="47">
        <f>C17-E17</f>
        <v>1.4100000000000001</v>
      </c>
      <c r="H17" s="22"/>
    </row>
    <row r="18" spans="2:8" x14ac:dyDescent="0.3">
      <c r="B18" s="40"/>
      <c r="C18" s="42"/>
      <c r="D18" s="42"/>
      <c r="E18" s="42"/>
      <c r="F18" s="46"/>
      <c r="G18" s="45"/>
      <c r="H18" s="22"/>
    </row>
    <row r="19" spans="2:8" ht="17.399999999999999" x14ac:dyDescent="0.3">
      <c r="B19" s="199" t="s">
        <v>1</v>
      </c>
      <c r="C19" s="200">
        <f>+C16+C12+C8</f>
        <v>561.34</v>
      </c>
      <c r="D19" s="200">
        <f t="shared" si="0"/>
        <v>100</v>
      </c>
      <c r="E19" s="200">
        <v>594.58999999999992</v>
      </c>
      <c r="F19" s="201">
        <f>((C19-E19)/E19)*100</f>
        <v>-5.5920886661396745</v>
      </c>
      <c r="G19" s="202">
        <f>C19-E19</f>
        <v>-33.249999999999886</v>
      </c>
      <c r="H19" s="22"/>
    </row>
    <row r="20" spans="2:8" x14ac:dyDescent="0.3">
      <c r="B20" s="40"/>
      <c r="C20" s="40"/>
      <c r="D20" s="40"/>
      <c r="E20" s="41"/>
      <c r="F20" s="41"/>
      <c r="G20" s="41"/>
      <c r="H20" s="22"/>
    </row>
    <row r="21" spans="2:8" x14ac:dyDescent="0.3">
      <c r="B21" s="40"/>
      <c r="C21" s="40"/>
      <c r="D21" s="40"/>
      <c r="E21" s="41"/>
      <c r="F21" s="41"/>
      <c r="G21" s="41"/>
      <c r="H21" s="22"/>
    </row>
  </sheetData>
  <mergeCells count="1">
    <mergeCell ref="B2:G2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3"/>
  <sheetViews>
    <sheetView showGridLines="0" workbookViewId="0">
      <selection activeCell="E28" sqref="E28"/>
    </sheetView>
  </sheetViews>
  <sheetFormatPr baseColWidth="10" defaultRowHeight="15.6" x14ac:dyDescent="0.3"/>
  <cols>
    <col min="1" max="1" width="5.59765625" style="35" customWidth="1"/>
    <col min="2" max="2" width="4.3984375" style="35" customWidth="1"/>
    <col min="3" max="3" width="25.19921875" style="35" customWidth="1"/>
    <col min="4" max="7" width="9.59765625" style="35" customWidth="1"/>
    <col min="8" max="256" width="11" style="35"/>
    <col min="257" max="257" width="4" style="35" customWidth="1"/>
    <col min="258" max="258" width="4.3984375" style="35" customWidth="1"/>
    <col min="259" max="259" width="46.09765625" style="35" customWidth="1"/>
    <col min="260" max="261" width="14.3984375" style="35" customWidth="1"/>
    <col min="262" max="262" width="10.3984375" style="35" bestFit="1" customWidth="1"/>
    <col min="263" max="512" width="11" style="35"/>
    <col min="513" max="513" width="4" style="35" customWidth="1"/>
    <col min="514" max="514" width="4.3984375" style="35" customWidth="1"/>
    <col min="515" max="515" width="46.09765625" style="35" customWidth="1"/>
    <col min="516" max="517" width="14.3984375" style="35" customWidth="1"/>
    <col min="518" max="518" width="10.3984375" style="35" bestFit="1" customWidth="1"/>
    <col min="519" max="768" width="11" style="35"/>
    <col min="769" max="769" width="4" style="35" customWidth="1"/>
    <col min="770" max="770" width="4.3984375" style="35" customWidth="1"/>
    <col min="771" max="771" width="46.09765625" style="35" customWidth="1"/>
    <col min="772" max="773" width="14.3984375" style="35" customWidth="1"/>
    <col min="774" max="774" width="10.3984375" style="35" bestFit="1" customWidth="1"/>
    <col min="775" max="1024" width="11" style="35"/>
    <col min="1025" max="1025" width="4" style="35" customWidth="1"/>
    <col min="1026" max="1026" width="4.3984375" style="35" customWidth="1"/>
    <col min="1027" max="1027" width="46.09765625" style="35" customWidth="1"/>
    <col min="1028" max="1029" width="14.3984375" style="35" customWidth="1"/>
    <col min="1030" max="1030" width="10.3984375" style="35" bestFit="1" customWidth="1"/>
    <col min="1031" max="1280" width="11" style="35"/>
    <col min="1281" max="1281" width="4" style="35" customWidth="1"/>
    <col min="1282" max="1282" width="4.3984375" style="35" customWidth="1"/>
    <col min="1283" max="1283" width="46.09765625" style="35" customWidth="1"/>
    <col min="1284" max="1285" width="14.3984375" style="35" customWidth="1"/>
    <col min="1286" max="1286" width="10.3984375" style="35" bestFit="1" customWidth="1"/>
    <col min="1287" max="1536" width="11" style="35"/>
    <col min="1537" max="1537" width="4" style="35" customWidth="1"/>
    <col min="1538" max="1538" width="4.3984375" style="35" customWidth="1"/>
    <col min="1539" max="1539" width="46.09765625" style="35" customWidth="1"/>
    <col min="1540" max="1541" width="14.3984375" style="35" customWidth="1"/>
    <col min="1542" max="1542" width="10.3984375" style="35" bestFit="1" customWidth="1"/>
    <col min="1543" max="1792" width="11" style="35"/>
    <col min="1793" max="1793" width="4" style="35" customWidth="1"/>
    <col min="1794" max="1794" width="4.3984375" style="35" customWidth="1"/>
    <col min="1795" max="1795" width="46.09765625" style="35" customWidth="1"/>
    <col min="1796" max="1797" width="14.3984375" style="35" customWidth="1"/>
    <col min="1798" max="1798" width="10.3984375" style="35" bestFit="1" customWidth="1"/>
    <col min="1799" max="2048" width="11" style="35"/>
    <col min="2049" max="2049" width="4" style="35" customWidth="1"/>
    <col min="2050" max="2050" width="4.3984375" style="35" customWidth="1"/>
    <col min="2051" max="2051" width="46.09765625" style="35" customWidth="1"/>
    <col min="2052" max="2053" width="14.3984375" style="35" customWidth="1"/>
    <col min="2054" max="2054" width="10.3984375" style="35" bestFit="1" customWidth="1"/>
    <col min="2055" max="2304" width="11" style="35"/>
    <col min="2305" max="2305" width="4" style="35" customWidth="1"/>
    <col min="2306" max="2306" width="4.3984375" style="35" customWidth="1"/>
    <col min="2307" max="2307" width="46.09765625" style="35" customWidth="1"/>
    <col min="2308" max="2309" width="14.3984375" style="35" customWidth="1"/>
    <col min="2310" max="2310" width="10.3984375" style="35" bestFit="1" customWidth="1"/>
    <col min="2311" max="2560" width="11" style="35"/>
    <col min="2561" max="2561" width="4" style="35" customWidth="1"/>
    <col min="2562" max="2562" width="4.3984375" style="35" customWidth="1"/>
    <col min="2563" max="2563" width="46.09765625" style="35" customWidth="1"/>
    <col min="2564" max="2565" width="14.3984375" style="35" customWidth="1"/>
    <col min="2566" max="2566" width="10.3984375" style="35" bestFit="1" customWidth="1"/>
    <col min="2567" max="2816" width="11" style="35"/>
    <col min="2817" max="2817" width="4" style="35" customWidth="1"/>
    <col min="2818" max="2818" width="4.3984375" style="35" customWidth="1"/>
    <col min="2819" max="2819" width="46.09765625" style="35" customWidth="1"/>
    <col min="2820" max="2821" width="14.3984375" style="35" customWidth="1"/>
    <col min="2822" max="2822" width="10.3984375" style="35" bestFit="1" customWidth="1"/>
    <col min="2823" max="3072" width="11" style="35"/>
    <col min="3073" max="3073" width="4" style="35" customWidth="1"/>
    <col min="3074" max="3074" width="4.3984375" style="35" customWidth="1"/>
    <col min="3075" max="3075" width="46.09765625" style="35" customWidth="1"/>
    <col min="3076" max="3077" width="14.3984375" style="35" customWidth="1"/>
    <col min="3078" max="3078" width="10.3984375" style="35" bestFit="1" customWidth="1"/>
    <col min="3079" max="3328" width="11" style="35"/>
    <col min="3329" max="3329" width="4" style="35" customWidth="1"/>
    <col min="3330" max="3330" width="4.3984375" style="35" customWidth="1"/>
    <col min="3331" max="3331" width="46.09765625" style="35" customWidth="1"/>
    <col min="3332" max="3333" width="14.3984375" style="35" customWidth="1"/>
    <col min="3334" max="3334" width="10.3984375" style="35" bestFit="1" customWidth="1"/>
    <col min="3335" max="3584" width="11" style="35"/>
    <col min="3585" max="3585" width="4" style="35" customWidth="1"/>
    <col min="3586" max="3586" width="4.3984375" style="35" customWidth="1"/>
    <col min="3587" max="3587" width="46.09765625" style="35" customWidth="1"/>
    <col min="3588" max="3589" width="14.3984375" style="35" customWidth="1"/>
    <col min="3590" max="3590" width="10.3984375" style="35" bestFit="1" customWidth="1"/>
    <col min="3591" max="3840" width="11" style="35"/>
    <col min="3841" max="3841" width="4" style="35" customWidth="1"/>
    <col min="3842" max="3842" width="4.3984375" style="35" customWidth="1"/>
    <col min="3843" max="3843" width="46.09765625" style="35" customWidth="1"/>
    <col min="3844" max="3845" width="14.3984375" style="35" customWidth="1"/>
    <col min="3846" max="3846" width="10.3984375" style="35" bestFit="1" customWidth="1"/>
    <col min="3847" max="4096" width="11" style="35"/>
    <col min="4097" max="4097" width="4" style="35" customWidth="1"/>
    <col min="4098" max="4098" width="4.3984375" style="35" customWidth="1"/>
    <col min="4099" max="4099" width="46.09765625" style="35" customWidth="1"/>
    <col min="4100" max="4101" width="14.3984375" style="35" customWidth="1"/>
    <col min="4102" max="4102" width="10.3984375" style="35" bestFit="1" customWidth="1"/>
    <col min="4103" max="4352" width="11" style="35"/>
    <col min="4353" max="4353" width="4" style="35" customWidth="1"/>
    <col min="4354" max="4354" width="4.3984375" style="35" customWidth="1"/>
    <col min="4355" max="4355" width="46.09765625" style="35" customWidth="1"/>
    <col min="4356" max="4357" width="14.3984375" style="35" customWidth="1"/>
    <col min="4358" max="4358" width="10.3984375" style="35" bestFit="1" customWidth="1"/>
    <col min="4359" max="4608" width="11" style="35"/>
    <col min="4609" max="4609" width="4" style="35" customWidth="1"/>
    <col min="4610" max="4610" width="4.3984375" style="35" customWidth="1"/>
    <col min="4611" max="4611" width="46.09765625" style="35" customWidth="1"/>
    <col min="4612" max="4613" width="14.3984375" style="35" customWidth="1"/>
    <col min="4614" max="4614" width="10.3984375" style="35" bestFit="1" customWidth="1"/>
    <col min="4615" max="4864" width="11" style="35"/>
    <col min="4865" max="4865" width="4" style="35" customWidth="1"/>
    <col min="4866" max="4866" width="4.3984375" style="35" customWidth="1"/>
    <col min="4867" max="4867" width="46.09765625" style="35" customWidth="1"/>
    <col min="4868" max="4869" width="14.3984375" style="35" customWidth="1"/>
    <col min="4870" max="4870" width="10.3984375" style="35" bestFit="1" customWidth="1"/>
    <col min="4871" max="5120" width="11" style="35"/>
    <col min="5121" max="5121" width="4" style="35" customWidth="1"/>
    <col min="5122" max="5122" width="4.3984375" style="35" customWidth="1"/>
    <col min="5123" max="5123" width="46.09765625" style="35" customWidth="1"/>
    <col min="5124" max="5125" width="14.3984375" style="35" customWidth="1"/>
    <col min="5126" max="5126" width="10.3984375" style="35" bestFit="1" customWidth="1"/>
    <col min="5127" max="5376" width="11" style="35"/>
    <col min="5377" max="5377" width="4" style="35" customWidth="1"/>
    <col min="5378" max="5378" width="4.3984375" style="35" customWidth="1"/>
    <col min="5379" max="5379" width="46.09765625" style="35" customWidth="1"/>
    <col min="5380" max="5381" width="14.3984375" style="35" customWidth="1"/>
    <col min="5382" max="5382" width="10.3984375" style="35" bestFit="1" customWidth="1"/>
    <col min="5383" max="5632" width="11" style="35"/>
    <col min="5633" max="5633" width="4" style="35" customWidth="1"/>
    <col min="5634" max="5634" width="4.3984375" style="35" customWidth="1"/>
    <col min="5635" max="5635" width="46.09765625" style="35" customWidth="1"/>
    <col min="5636" max="5637" width="14.3984375" style="35" customWidth="1"/>
    <col min="5638" max="5638" width="10.3984375" style="35" bestFit="1" customWidth="1"/>
    <col min="5639" max="5888" width="11" style="35"/>
    <col min="5889" max="5889" width="4" style="35" customWidth="1"/>
    <col min="5890" max="5890" width="4.3984375" style="35" customWidth="1"/>
    <col min="5891" max="5891" width="46.09765625" style="35" customWidth="1"/>
    <col min="5892" max="5893" width="14.3984375" style="35" customWidth="1"/>
    <col min="5894" max="5894" width="10.3984375" style="35" bestFit="1" customWidth="1"/>
    <col min="5895" max="6144" width="11" style="35"/>
    <col min="6145" max="6145" width="4" style="35" customWidth="1"/>
    <col min="6146" max="6146" width="4.3984375" style="35" customWidth="1"/>
    <col min="6147" max="6147" width="46.09765625" style="35" customWidth="1"/>
    <col min="6148" max="6149" width="14.3984375" style="35" customWidth="1"/>
    <col min="6150" max="6150" width="10.3984375" style="35" bestFit="1" customWidth="1"/>
    <col min="6151" max="6400" width="11" style="35"/>
    <col min="6401" max="6401" width="4" style="35" customWidth="1"/>
    <col min="6402" max="6402" width="4.3984375" style="35" customWidth="1"/>
    <col min="6403" max="6403" width="46.09765625" style="35" customWidth="1"/>
    <col min="6404" max="6405" width="14.3984375" style="35" customWidth="1"/>
    <col min="6406" max="6406" width="10.3984375" style="35" bestFit="1" customWidth="1"/>
    <col min="6407" max="6656" width="11" style="35"/>
    <col min="6657" max="6657" width="4" style="35" customWidth="1"/>
    <col min="6658" max="6658" width="4.3984375" style="35" customWidth="1"/>
    <col min="6659" max="6659" width="46.09765625" style="35" customWidth="1"/>
    <col min="6660" max="6661" width="14.3984375" style="35" customWidth="1"/>
    <col min="6662" max="6662" width="10.3984375" style="35" bestFit="1" customWidth="1"/>
    <col min="6663" max="6912" width="11" style="35"/>
    <col min="6913" max="6913" width="4" style="35" customWidth="1"/>
    <col min="6914" max="6914" width="4.3984375" style="35" customWidth="1"/>
    <col min="6915" max="6915" width="46.09765625" style="35" customWidth="1"/>
    <col min="6916" max="6917" width="14.3984375" style="35" customWidth="1"/>
    <col min="6918" max="6918" width="10.3984375" style="35" bestFit="1" customWidth="1"/>
    <col min="6919" max="7168" width="11" style="35"/>
    <col min="7169" max="7169" width="4" style="35" customWidth="1"/>
    <col min="7170" max="7170" width="4.3984375" style="35" customWidth="1"/>
    <col min="7171" max="7171" width="46.09765625" style="35" customWidth="1"/>
    <col min="7172" max="7173" width="14.3984375" style="35" customWidth="1"/>
    <col min="7174" max="7174" width="10.3984375" style="35" bestFit="1" customWidth="1"/>
    <col min="7175" max="7424" width="11" style="35"/>
    <col min="7425" max="7425" width="4" style="35" customWidth="1"/>
    <col min="7426" max="7426" width="4.3984375" style="35" customWidth="1"/>
    <col min="7427" max="7427" width="46.09765625" style="35" customWidth="1"/>
    <col min="7428" max="7429" width="14.3984375" style="35" customWidth="1"/>
    <col min="7430" max="7430" width="10.3984375" style="35" bestFit="1" customWidth="1"/>
    <col min="7431" max="7680" width="11" style="35"/>
    <col min="7681" max="7681" width="4" style="35" customWidth="1"/>
    <col min="7682" max="7682" width="4.3984375" style="35" customWidth="1"/>
    <col min="7683" max="7683" width="46.09765625" style="35" customWidth="1"/>
    <col min="7684" max="7685" width="14.3984375" style="35" customWidth="1"/>
    <col min="7686" max="7686" width="10.3984375" style="35" bestFit="1" customWidth="1"/>
    <col min="7687" max="7936" width="11" style="35"/>
    <col min="7937" max="7937" width="4" style="35" customWidth="1"/>
    <col min="7938" max="7938" width="4.3984375" style="35" customWidth="1"/>
    <col min="7939" max="7939" width="46.09765625" style="35" customWidth="1"/>
    <col min="7940" max="7941" width="14.3984375" style="35" customWidth="1"/>
    <col min="7942" max="7942" width="10.3984375" style="35" bestFit="1" customWidth="1"/>
    <col min="7943" max="8192" width="11" style="35"/>
    <col min="8193" max="8193" width="4" style="35" customWidth="1"/>
    <col min="8194" max="8194" width="4.3984375" style="35" customWidth="1"/>
    <col min="8195" max="8195" width="46.09765625" style="35" customWidth="1"/>
    <col min="8196" max="8197" width="14.3984375" style="35" customWidth="1"/>
    <col min="8198" max="8198" width="10.3984375" style="35" bestFit="1" customWidth="1"/>
    <col min="8199" max="8448" width="11" style="35"/>
    <col min="8449" max="8449" width="4" style="35" customWidth="1"/>
    <col min="8450" max="8450" width="4.3984375" style="35" customWidth="1"/>
    <col min="8451" max="8451" width="46.09765625" style="35" customWidth="1"/>
    <col min="8452" max="8453" width="14.3984375" style="35" customWidth="1"/>
    <col min="8454" max="8454" width="10.3984375" style="35" bestFit="1" customWidth="1"/>
    <col min="8455" max="8704" width="11" style="35"/>
    <col min="8705" max="8705" width="4" style="35" customWidth="1"/>
    <col min="8706" max="8706" width="4.3984375" style="35" customWidth="1"/>
    <col min="8707" max="8707" width="46.09765625" style="35" customWidth="1"/>
    <col min="8708" max="8709" width="14.3984375" style="35" customWidth="1"/>
    <col min="8710" max="8710" width="10.3984375" style="35" bestFit="1" customWidth="1"/>
    <col min="8711" max="8960" width="11" style="35"/>
    <col min="8961" max="8961" width="4" style="35" customWidth="1"/>
    <col min="8962" max="8962" width="4.3984375" style="35" customWidth="1"/>
    <col min="8963" max="8963" width="46.09765625" style="35" customWidth="1"/>
    <col min="8964" max="8965" width="14.3984375" style="35" customWidth="1"/>
    <col min="8966" max="8966" width="10.3984375" style="35" bestFit="1" customWidth="1"/>
    <col min="8967" max="9216" width="11" style="35"/>
    <col min="9217" max="9217" width="4" style="35" customWidth="1"/>
    <col min="9218" max="9218" width="4.3984375" style="35" customWidth="1"/>
    <col min="9219" max="9219" width="46.09765625" style="35" customWidth="1"/>
    <col min="9220" max="9221" width="14.3984375" style="35" customWidth="1"/>
    <col min="9222" max="9222" width="10.3984375" style="35" bestFit="1" customWidth="1"/>
    <col min="9223" max="9472" width="11" style="35"/>
    <col min="9473" max="9473" width="4" style="35" customWidth="1"/>
    <col min="9474" max="9474" width="4.3984375" style="35" customWidth="1"/>
    <col min="9475" max="9475" width="46.09765625" style="35" customWidth="1"/>
    <col min="9476" max="9477" width="14.3984375" style="35" customWidth="1"/>
    <col min="9478" max="9478" width="10.3984375" style="35" bestFit="1" customWidth="1"/>
    <col min="9479" max="9728" width="11" style="35"/>
    <col min="9729" max="9729" width="4" style="35" customWidth="1"/>
    <col min="9730" max="9730" width="4.3984375" style="35" customWidth="1"/>
    <col min="9731" max="9731" width="46.09765625" style="35" customWidth="1"/>
    <col min="9732" max="9733" width="14.3984375" style="35" customWidth="1"/>
    <col min="9734" max="9734" width="10.3984375" style="35" bestFit="1" customWidth="1"/>
    <col min="9735" max="9984" width="11" style="35"/>
    <col min="9985" max="9985" width="4" style="35" customWidth="1"/>
    <col min="9986" max="9986" width="4.3984375" style="35" customWidth="1"/>
    <col min="9987" max="9987" width="46.09765625" style="35" customWidth="1"/>
    <col min="9988" max="9989" width="14.3984375" style="35" customWidth="1"/>
    <col min="9990" max="9990" width="10.3984375" style="35" bestFit="1" customWidth="1"/>
    <col min="9991" max="10240" width="11" style="35"/>
    <col min="10241" max="10241" width="4" style="35" customWidth="1"/>
    <col min="10242" max="10242" width="4.3984375" style="35" customWidth="1"/>
    <col min="10243" max="10243" width="46.09765625" style="35" customWidth="1"/>
    <col min="10244" max="10245" width="14.3984375" style="35" customWidth="1"/>
    <col min="10246" max="10246" width="10.3984375" style="35" bestFit="1" customWidth="1"/>
    <col min="10247" max="10496" width="11" style="35"/>
    <col min="10497" max="10497" width="4" style="35" customWidth="1"/>
    <col min="10498" max="10498" width="4.3984375" style="35" customWidth="1"/>
    <col min="10499" max="10499" width="46.09765625" style="35" customWidth="1"/>
    <col min="10500" max="10501" width="14.3984375" style="35" customWidth="1"/>
    <col min="10502" max="10502" width="10.3984375" style="35" bestFit="1" customWidth="1"/>
    <col min="10503" max="10752" width="11" style="35"/>
    <col min="10753" max="10753" width="4" style="35" customWidth="1"/>
    <col min="10754" max="10754" width="4.3984375" style="35" customWidth="1"/>
    <col min="10755" max="10755" width="46.09765625" style="35" customWidth="1"/>
    <col min="10756" max="10757" width="14.3984375" style="35" customWidth="1"/>
    <col min="10758" max="10758" width="10.3984375" style="35" bestFit="1" customWidth="1"/>
    <col min="10759" max="11008" width="11" style="35"/>
    <col min="11009" max="11009" width="4" style="35" customWidth="1"/>
    <col min="11010" max="11010" width="4.3984375" style="35" customWidth="1"/>
    <col min="11011" max="11011" width="46.09765625" style="35" customWidth="1"/>
    <col min="11012" max="11013" width="14.3984375" style="35" customWidth="1"/>
    <col min="11014" max="11014" width="10.3984375" style="35" bestFit="1" customWidth="1"/>
    <col min="11015" max="11264" width="11" style="35"/>
    <col min="11265" max="11265" width="4" style="35" customWidth="1"/>
    <col min="11266" max="11266" width="4.3984375" style="35" customWidth="1"/>
    <col min="11267" max="11267" width="46.09765625" style="35" customWidth="1"/>
    <col min="11268" max="11269" width="14.3984375" style="35" customWidth="1"/>
    <col min="11270" max="11270" width="10.3984375" style="35" bestFit="1" customWidth="1"/>
    <col min="11271" max="11520" width="11" style="35"/>
    <col min="11521" max="11521" width="4" style="35" customWidth="1"/>
    <col min="11522" max="11522" width="4.3984375" style="35" customWidth="1"/>
    <col min="11523" max="11523" width="46.09765625" style="35" customWidth="1"/>
    <col min="11524" max="11525" width="14.3984375" style="35" customWidth="1"/>
    <col min="11526" max="11526" width="10.3984375" style="35" bestFit="1" customWidth="1"/>
    <col min="11527" max="11776" width="11" style="35"/>
    <col min="11777" max="11777" width="4" style="35" customWidth="1"/>
    <col min="11778" max="11778" width="4.3984375" style="35" customWidth="1"/>
    <col min="11779" max="11779" width="46.09765625" style="35" customWidth="1"/>
    <col min="11780" max="11781" width="14.3984375" style="35" customWidth="1"/>
    <col min="11782" max="11782" width="10.3984375" style="35" bestFit="1" customWidth="1"/>
    <col min="11783" max="12032" width="11" style="35"/>
    <col min="12033" max="12033" width="4" style="35" customWidth="1"/>
    <col min="12034" max="12034" width="4.3984375" style="35" customWidth="1"/>
    <col min="12035" max="12035" width="46.09765625" style="35" customWidth="1"/>
    <col min="12036" max="12037" width="14.3984375" style="35" customWidth="1"/>
    <col min="12038" max="12038" width="10.3984375" style="35" bestFit="1" customWidth="1"/>
    <col min="12039" max="12288" width="11" style="35"/>
    <col min="12289" max="12289" width="4" style="35" customWidth="1"/>
    <col min="12290" max="12290" width="4.3984375" style="35" customWidth="1"/>
    <col min="12291" max="12291" width="46.09765625" style="35" customWidth="1"/>
    <col min="12292" max="12293" width="14.3984375" style="35" customWidth="1"/>
    <col min="12294" max="12294" width="10.3984375" style="35" bestFit="1" customWidth="1"/>
    <col min="12295" max="12544" width="11" style="35"/>
    <col min="12545" max="12545" width="4" style="35" customWidth="1"/>
    <col min="12546" max="12546" width="4.3984375" style="35" customWidth="1"/>
    <col min="12547" max="12547" width="46.09765625" style="35" customWidth="1"/>
    <col min="12548" max="12549" width="14.3984375" style="35" customWidth="1"/>
    <col min="12550" max="12550" width="10.3984375" style="35" bestFit="1" customWidth="1"/>
    <col min="12551" max="12800" width="11" style="35"/>
    <col min="12801" max="12801" width="4" style="35" customWidth="1"/>
    <col min="12802" max="12802" width="4.3984375" style="35" customWidth="1"/>
    <col min="12803" max="12803" width="46.09765625" style="35" customWidth="1"/>
    <col min="12804" max="12805" width="14.3984375" style="35" customWidth="1"/>
    <col min="12806" max="12806" width="10.3984375" style="35" bestFit="1" customWidth="1"/>
    <col min="12807" max="13056" width="11" style="35"/>
    <col min="13057" max="13057" width="4" style="35" customWidth="1"/>
    <col min="13058" max="13058" width="4.3984375" style="35" customWidth="1"/>
    <col min="13059" max="13059" width="46.09765625" style="35" customWidth="1"/>
    <col min="13060" max="13061" width="14.3984375" style="35" customWidth="1"/>
    <col min="13062" max="13062" width="10.3984375" style="35" bestFit="1" customWidth="1"/>
    <col min="13063" max="13312" width="11" style="35"/>
    <col min="13313" max="13313" width="4" style="35" customWidth="1"/>
    <col min="13314" max="13314" width="4.3984375" style="35" customWidth="1"/>
    <col min="13315" max="13315" width="46.09765625" style="35" customWidth="1"/>
    <col min="13316" max="13317" width="14.3984375" style="35" customWidth="1"/>
    <col min="13318" max="13318" width="10.3984375" style="35" bestFit="1" customWidth="1"/>
    <col min="13319" max="13568" width="11" style="35"/>
    <col min="13569" max="13569" width="4" style="35" customWidth="1"/>
    <col min="13570" max="13570" width="4.3984375" style="35" customWidth="1"/>
    <col min="13571" max="13571" width="46.09765625" style="35" customWidth="1"/>
    <col min="13572" max="13573" width="14.3984375" style="35" customWidth="1"/>
    <col min="13574" max="13574" width="10.3984375" style="35" bestFit="1" customWidth="1"/>
    <col min="13575" max="13824" width="11" style="35"/>
    <col min="13825" max="13825" width="4" style="35" customWidth="1"/>
    <col min="13826" max="13826" width="4.3984375" style="35" customWidth="1"/>
    <col min="13827" max="13827" width="46.09765625" style="35" customWidth="1"/>
    <col min="13828" max="13829" width="14.3984375" style="35" customWidth="1"/>
    <col min="13830" max="13830" width="10.3984375" style="35" bestFit="1" customWidth="1"/>
    <col min="13831" max="14080" width="11" style="35"/>
    <col min="14081" max="14081" width="4" style="35" customWidth="1"/>
    <col min="14082" max="14082" width="4.3984375" style="35" customWidth="1"/>
    <col min="14083" max="14083" width="46.09765625" style="35" customWidth="1"/>
    <col min="14084" max="14085" width="14.3984375" style="35" customWidth="1"/>
    <col min="14086" max="14086" width="10.3984375" style="35" bestFit="1" customWidth="1"/>
    <col min="14087" max="14336" width="11" style="35"/>
    <col min="14337" max="14337" width="4" style="35" customWidth="1"/>
    <col min="14338" max="14338" width="4.3984375" style="35" customWidth="1"/>
    <col min="14339" max="14339" width="46.09765625" style="35" customWidth="1"/>
    <col min="14340" max="14341" width="14.3984375" style="35" customWidth="1"/>
    <col min="14342" max="14342" width="10.3984375" style="35" bestFit="1" customWidth="1"/>
    <col min="14343" max="14592" width="11" style="35"/>
    <col min="14593" max="14593" width="4" style="35" customWidth="1"/>
    <col min="14594" max="14594" width="4.3984375" style="35" customWidth="1"/>
    <col min="14595" max="14595" width="46.09765625" style="35" customWidth="1"/>
    <col min="14596" max="14597" width="14.3984375" style="35" customWidth="1"/>
    <col min="14598" max="14598" width="10.3984375" style="35" bestFit="1" customWidth="1"/>
    <col min="14599" max="14848" width="11" style="35"/>
    <col min="14849" max="14849" width="4" style="35" customWidth="1"/>
    <col min="14850" max="14850" width="4.3984375" style="35" customWidth="1"/>
    <col min="14851" max="14851" width="46.09765625" style="35" customWidth="1"/>
    <col min="14852" max="14853" width="14.3984375" style="35" customWidth="1"/>
    <col min="14854" max="14854" width="10.3984375" style="35" bestFit="1" customWidth="1"/>
    <col min="14855" max="15104" width="11" style="35"/>
    <col min="15105" max="15105" width="4" style="35" customWidth="1"/>
    <col min="15106" max="15106" width="4.3984375" style="35" customWidth="1"/>
    <col min="15107" max="15107" width="46.09765625" style="35" customWidth="1"/>
    <col min="15108" max="15109" width="14.3984375" style="35" customWidth="1"/>
    <col min="15110" max="15110" width="10.3984375" style="35" bestFit="1" customWidth="1"/>
    <col min="15111" max="15360" width="11" style="35"/>
    <col min="15361" max="15361" width="4" style="35" customWidth="1"/>
    <col min="15362" max="15362" width="4.3984375" style="35" customWidth="1"/>
    <col min="15363" max="15363" width="46.09765625" style="35" customWidth="1"/>
    <col min="15364" max="15365" width="14.3984375" style="35" customWidth="1"/>
    <col min="15366" max="15366" width="10.3984375" style="35" bestFit="1" customWidth="1"/>
    <col min="15367" max="15616" width="11" style="35"/>
    <col min="15617" max="15617" width="4" style="35" customWidth="1"/>
    <col min="15618" max="15618" width="4.3984375" style="35" customWidth="1"/>
    <col min="15619" max="15619" width="46.09765625" style="35" customWidth="1"/>
    <col min="15620" max="15621" width="14.3984375" style="35" customWidth="1"/>
    <col min="15622" max="15622" width="10.3984375" style="35" bestFit="1" customWidth="1"/>
    <col min="15623" max="15872" width="11" style="35"/>
    <col min="15873" max="15873" width="4" style="35" customWidth="1"/>
    <col min="15874" max="15874" width="4.3984375" style="35" customWidth="1"/>
    <col min="15875" max="15875" width="46.09765625" style="35" customWidth="1"/>
    <col min="15876" max="15877" width="14.3984375" style="35" customWidth="1"/>
    <col min="15878" max="15878" width="10.3984375" style="35" bestFit="1" customWidth="1"/>
    <col min="15879" max="16128" width="11" style="35"/>
    <col min="16129" max="16129" width="4" style="35" customWidth="1"/>
    <col min="16130" max="16130" width="4.3984375" style="35" customWidth="1"/>
    <col min="16131" max="16131" width="46.09765625" style="35" customWidth="1"/>
    <col min="16132" max="16133" width="14.3984375" style="35" customWidth="1"/>
    <col min="16134" max="16134" width="10.3984375" style="35" bestFit="1" customWidth="1"/>
    <col min="16135" max="16384" width="11" style="35"/>
  </cols>
  <sheetData>
    <row r="1" spans="2:9" ht="24.9" customHeight="1" x14ac:dyDescent="0.3"/>
    <row r="2" spans="2:9" ht="24.9" customHeight="1" x14ac:dyDescent="0.3">
      <c r="B2" s="270" t="s">
        <v>123</v>
      </c>
      <c r="C2" s="270"/>
      <c r="D2" s="270"/>
      <c r="E2" s="270"/>
      <c r="F2" s="270"/>
      <c r="G2" s="270"/>
      <c r="H2" s="207"/>
    </row>
    <row r="3" spans="2:9" x14ac:dyDescent="0.3">
      <c r="B3" s="207"/>
      <c r="C3" s="207"/>
      <c r="D3" s="207"/>
      <c r="E3" s="207"/>
      <c r="F3" s="207"/>
      <c r="G3" s="207"/>
      <c r="H3" s="207"/>
    </row>
    <row r="4" spans="2:9" x14ac:dyDescent="0.3">
      <c r="B4" s="269" t="s">
        <v>21</v>
      </c>
      <c r="C4" s="269"/>
      <c r="D4" s="207"/>
      <c r="E4" s="207"/>
      <c r="F4" s="207"/>
      <c r="G4" s="207"/>
      <c r="H4" s="207"/>
    </row>
    <row r="5" spans="2:9" x14ac:dyDescent="0.3">
      <c r="B5" s="276"/>
      <c r="C5" s="276"/>
      <c r="D5" s="207"/>
      <c r="E5" s="207"/>
      <c r="F5" s="207"/>
      <c r="G5" s="207"/>
      <c r="H5" s="207"/>
    </row>
    <row r="6" spans="2:9" s="9" customFormat="1" ht="31.2" x14ac:dyDescent="0.3">
      <c r="B6" s="275"/>
      <c r="C6" s="275"/>
      <c r="D6" s="209">
        <v>42735</v>
      </c>
      <c r="E6" s="209">
        <v>42369</v>
      </c>
      <c r="F6" s="65" t="s">
        <v>94</v>
      </c>
      <c r="G6" s="65" t="s">
        <v>95</v>
      </c>
      <c r="H6" s="33"/>
    </row>
    <row r="7" spans="2:9" s="9" customFormat="1" x14ac:dyDescent="0.3">
      <c r="B7" s="275"/>
      <c r="C7" s="275"/>
      <c r="D7" s="205"/>
      <c r="E7" s="205"/>
      <c r="F7" s="208"/>
      <c r="G7" s="208"/>
      <c r="H7" s="33"/>
    </row>
    <row r="8" spans="2:9" s="9" customFormat="1" x14ac:dyDescent="0.3">
      <c r="B8" s="271" t="s">
        <v>36</v>
      </c>
      <c r="C8" s="271"/>
      <c r="D8" s="17">
        <v>274.79000000000002</v>
      </c>
      <c r="E8" s="17">
        <v>255.86</v>
      </c>
      <c r="F8" s="21">
        <f t="shared" ref="F8:F23" si="0">((D8-E8)/E8)*100</f>
        <v>7.3985773469866363</v>
      </c>
      <c r="G8" s="17">
        <f>D8-E8</f>
        <v>18.930000000000007</v>
      </c>
      <c r="H8" s="33"/>
      <c r="I8" s="10"/>
    </row>
    <row r="9" spans="2:9" x14ac:dyDescent="0.3">
      <c r="B9" s="215" t="s">
        <v>37</v>
      </c>
      <c r="C9" s="215"/>
      <c r="D9" s="214">
        <v>63.53</v>
      </c>
      <c r="E9" s="214">
        <v>50.59</v>
      </c>
      <c r="F9" s="213">
        <f t="shared" si="0"/>
        <v>25.57817750543585</v>
      </c>
      <c r="G9" s="214">
        <f t="shared" ref="G9:G23" si="1">D9-E9</f>
        <v>12.939999999999998</v>
      </c>
      <c r="H9" s="207"/>
      <c r="I9" s="36"/>
    </row>
    <row r="10" spans="2:9" x14ac:dyDescent="0.3">
      <c r="B10" s="269" t="s">
        <v>45</v>
      </c>
      <c r="C10" s="269"/>
      <c r="D10" s="203">
        <v>184.71</v>
      </c>
      <c r="E10" s="203">
        <v>179.05</v>
      </c>
      <c r="F10" s="204">
        <f t="shared" si="0"/>
        <v>3.1611281764870123</v>
      </c>
      <c r="G10" s="203">
        <f t="shared" si="1"/>
        <v>5.6599999999999966</v>
      </c>
      <c r="H10" s="207"/>
      <c r="I10" s="36"/>
    </row>
    <row r="11" spans="2:9" x14ac:dyDescent="0.3">
      <c r="B11" s="269" t="s">
        <v>38</v>
      </c>
      <c r="C11" s="269"/>
      <c r="D11" s="203">
        <v>-121.18</v>
      </c>
      <c r="E11" s="203">
        <v>-128.46</v>
      </c>
      <c r="F11" s="204">
        <f t="shared" si="0"/>
        <v>-5.6671337381286015</v>
      </c>
      <c r="G11" s="203">
        <f t="shared" si="1"/>
        <v>7.2800000000000011</v>
      </c>
      <c r="H11" s="207"/>
      <c r="I11" s="36"/>
    </row>
    <row r="12" spans="2:9" x14ac:dyDescent="0.3">
      <c r="B12" s="276"/>
      <c r="C12" s="276"/>
      <c r="D12" s="203"/>
      <c r="E12" s="203"/>
      <c r="F12" s="204"/>
      <c r="G12" s="203"/>
      <c r="H12" s="207"/>
      <c r="I12" s="36"/>
    </row>
    <row r="13" spans="2:9" s="9" customFormat="1" ht="17.399999999999999" x14ac:dyDescent="0.3">
      <c r="B13" s="272" t="s">
        <v>39</v>
      </c>
      <c r="C13" s="272"/>
      <c r="D13" s="210">
        <v>338.32000000000005</v>
      </c>
      <c r="E13" s="210">
        <v>306.45000000000005</v>
      </c>
      <c r="F13" s="211">
        <f t="shared" si="0"/>
        <v>10.399738945994452</v>
      </c>
      <c r="G13" s="210">
        <f t="shared" si="1"/>
        <v>31.870000000000005</v>
      </c>
      <c r="H13" s="33"/>
      <c r="I13" s="10"/>
    </row>
    <row r="14" spans="2:9" s="9" customFormat="1" x14ac:dyDescent="0.3">
      <c r="B14" s="275"/>
      <c r="C14" s="275"/>
      <c r="D14" s="34"/>
      <c r="E14" s="34"/>
      <c r="F14" s="206"/>
      <c r="G14" s="34"/>
      <c r="H14" s="33"/>
      <c r="I14" s="10"/>
    </row>
    <row r="15" spans="2:9" s="9" customFormat="1" x14ac:dyDescent="0.3">
      <c r="B15" s="275"/>
      <c r="C15" s="275"/>
      <c r="D15" s="34"/>
      <c r="E15" s="34"/>
      <c r="F15" s="206"/>
      <c r="G15" s="34"/>
      <c r="H15" s="33"/>
      <c r="I15" s="10"/>
    </row>
    <row r="16" spans="2:9" x14ac:dyDescent="0.3">
      <c r="B16" s="273" t="s">
        <v>124</v>
      </c>
      <c r="C16" s="273"/>
      <c r="D16" s="212">
        <v>219.83</v>
      </c>
      <c r="E16" s="212">
        <v>175.88</v>
      </c>
      <c r="F16" s="213">
        <f t="shared" si="0"/>
        <v>24.988628610416203</v>
      </c>
      <c r="G16" s="214">
        <f t="shared" si="1"/>
        <v>43.950000000000017</v>
      </c>
      <c r="H16" s="207"/>
      <c r="I16" s="36"/>
    </row>
    <row r="17" spans="2:9" x14ac:dyDescent="0.3">
      <c r="B17" s="273" t="s">
        <v>125</v>
      </c>
      <c r="C17" s="273"/>
      <c r="D17" s="214">
        <v>73.460000000000008</v>
      </c>
      <c r="E17" s="214">
        <v>91.22999999999999</v>
      </c>
      <c r="F17" s="213">
        <f t="shared" si="0"/>
        <v>-19.478241806423309</v>
      </c>
      <c r="G17" s="214">
        <f t="shared" si="1"/>
        <v>-17.769999999999982</v>
      </c>
      <c r="H17" s="207"/>
      <c r="I17" s="36"/>
    </row>
    <row r="18" spans="2:9" x14ac:dyDescent="0.3">
      <c r="B18" s="269" t="s">
        <v>40</v>
      </c>
      <c r="C18" s="269"/>
      <c r="D18" s="203">
        <v>58.81</v>
      </c>
      <c r="E18" s="203">
        <v>42.77</v>
      </c>
      <c r="F18" s="204">
        <f t="shared" si="0"/>
        <v>37.502922609305585</v>
      </c>
      <c r="G18" s="203">
        <f t="shared" si="1"/>
        <v>16.04</v>
      </c>
      <c r="H18" s="207"/>
      <c r="I18" s="36"/>
    </row>
    <row r="19" spans="2:9" x14ac:dyDescent="0.3">
      <c r="B19" s="269" t="s">
        <v>41</v>
      </c>
      <c r="C19" s="269"/>
      <c r="D19" s="204">
        <v>89.34</v>
      </c>
      <c r="E19" s="204">
        <v>98.36999999999999</v>
      </c>
      <c r="F19" s="204">
        <f t="shared" si="0"/>
        <v>-9.1796279353461294</v>
      </c>
      <c r="G19" s="203">
        <f t="shared" si="1"/>
        <v>-9.0299999999999869</v>
      </c>
      <c r="H19" s="207"/>
      <c r="I19" s="36"/>
    </row>
    <row r="20" spans="2:9" x14ac:dyDescent="0.3">
      <c r="B20" s="269" t="s">
        <v>42</v>
      </c>
      <c r="C20" s="269"/>
      <c r="D20" s="207">
        <v>-74.69</v>
      </c>
      <c r="E20" s="207">
        <v>-49.91</v>
      </c>
      <c r="F20" s="204">
        <f t="shared" si="0"/>
        <v>49.649368863955125</v>
      </c>
      <c r="G20" s="203">
        <f t="shared" si="1"/>
        <v>-24.78</v>
      </c>
      <c r="H20" s="207"/>
      <c r="I20" s="36"/>
    </row>
    <row r="21" spans="2:9" x14ac:dyDescent="0.3">
      <c r="B21" s="273" t="s">
        <v>43</v>
      </c>
      <c r="C21" s="273"/>
      <c r="D21" s="214">
        <v>45.03</v>
      </c>
      <c r="E21" s="214">
        <v>39.340000000000003</v>
      </c>
      <c r="F21" s="213">
        <f t="shared" si="0"/>
        <v>14.463650228774776</v>
      </c>
      <c r="G21" s="214">
        <f t="shared" si="1"/>
        <v>5.6899999999999977</v>
      </c>
      <c r="H21" s="207"/>
      <c r="I21" s="36"/>
    </row>
    <row r="22" spans="2:9" x14ac:dyDescent="0.3">
      <c r="B22" s="275"/>
      <c r="C22" s="275"/>
      <c r="D22" s="34"/>
      <c r="E22" s="34"/>
      <c r="F22" s="206"/>
      <c r="G22" s="34"/>
      <c r="H22" s="207"/>
      <c r="I22" s="36"/>
    </row>
    <row r="23" spans="2:9" s="9" customFormat="1" ht="17.399999999999999" x14ac:dyDescent="0.3">
      <c r="B23" s="272" t="s">
        <v>44</v>
      </c>
      <c r="C23" s="272"/>
      <c r="D23" s="210">
        <v>338.32000000000005</v>
      </c>
      <c r="E23" s="210">
        <v>306.45</v>
      </c>
      <c r="F23" s="211">
        <f t="shared" si="0"/>
        <v>10.399738945994473</v>
      </c>
      <c r="G23" s="210">
        <f t="shared" si="1"/>
        <v>31.870000000000061</v>
      </c>
      <c r="H23" s="33"/>
      <c r="I23" s="10"/>
    </row>
    <row r="24" spans="2:9" x14ac:dyDescent="0.3">
      <c r="B24" s="277"/>
      <c r="C24" s="277"/>
      <c r="D24" s="207"/>
      <c r="E24" s="207"/>
      <c r="F24" s="207"/>
      <c r="G24" s="207"/>
      <c r="H24" s="207"/>
    </row>
    <row r="25" spans="2:9" x14ac:dyDescent="0.3">
      <c r="B25" s="274"/>
      <c r="C25" s="274"/>
      <c r="H25" s="207"/>
    </row>
    <row r="26" spans="2:9" x14ac:dyDescent="0.3">
      <c r="B26" s="212" t="s">
        <v>92</v>
      </c>
      <c r="C26" s="212"/>
      <c r="D26" s="216">
        <f>D17/(D17+D16)</f>
        <v>0.25046881925739028</v>
      </c>
      <c r="E26" s="216">
        <f>E17/(E17+E16)</f>
        <v>0.34154468196623111</v>
      </c>
      <c r="F26" s="213">
        <f t="shared" ref="F26" si="2">((D26-E26)/E26)*100</f>
        <v>-26.665870533989338</v>
      </c>
      <c r="G26" s="214">
        <f t="shared" ref="G26" si="3">D26-E26</f>
        <v>-9.1075862708840827E-2</v>
      </c>
      <c r="H26" s="207" t="s">
        <v>116</v>
      </c>
    </row>
    <row r="27" spans="2:9" x14ac:dyDescent="0.3">
      <c r="B27" s="274"/>
      <c r="C27" s="274"/>
      <c r="F27" s="207"/>
      <c r="G27" s="207"/>
      <c r="H27" s="207"/>
    </row>
    <row r="28" spans="2:9" x14ac:dyDescent="0.3">
      <c r="B28" s="212" t="s">
        <v>126</v>
      </c>
      <c r="C28" s="212"/>
      <c r="D28" s="216">
        <f>D17/Resultados!D19</f>
        <v>1.2611158798283288</v>
      </c>
      <c r="E28" s="216">
        <f>E17/Resultados!E19</f>
        <v>2.7967504598405877</v>
      </c>
      <c r="F28" s="213">
        <f t="shared" ref="F28" si="4">((D28-E28)/E28)*100</f>
        <v>-54.90781541159695</v>
      </c>
      <c r="G28" s="214">
        <f t="shared" ref="G28" si="5">D28-E28</f>
        <v>-1.5356345800122588</v>
      </c>
      <c r="H28" s="207" t="s">
        <v>116</v>
      </c>
    </row>
    <row r="29" spans="2:9" x14ac:dyDescent="0.3">
      <c r="B29" s="207"/>
      <c r="C29" s="207"/>
      <c r="D29" s="204"/>
      <c r="E29" s="204"/>
      <c r="F29" s="207"/>
      <c r="G29" s="207"/>
      <c r="H29" s="207"/>
    </row>
    <row r="30" spans="2:9" x14ac:dyDescent="0.3">
      <c r="B30" s="269" t="s">
        <v>117</v>
      </c>
      <c r="C30" s="269"/>
      <c r="D30" s="204"/>
      <c r="E30" s="204"/>
      <c r="F30" s="207"/>
      <c r="G30" s="207"/>
      <c r="H30" s="207"/>
    </row>
    <row r="31" spans="2:9" x14ac:dyDescent="0.3">
      <c r="F31" s="204"/>
      <c r="G31" s="207"/>
      <c r="H31" s="207"/>
    </row>
    <row r="32" spans="2:9" x14ac:dyDescent="0.3">
      <c r="B32" s="207"/>
      <c r="C32" s="207"/>
      <c r="D32" s="204"/>
      <c r="E32" s="204"/>
      <c r="F32" s="207"/>
      <c r="G32" s="207"/>
      <c r="H32" s="207"/>
    </row>
    <row r="33" spans="6:7" x14ac:dyDescent="0.3">
      <c r="F33" s="204"/>
      <c r="G33" s="207"/>
    </row>
  </sheetData>
  <mergeCells count="24">
    <mergeCell ref="B27:C27"/>
    <mergeCell ref="B30:C30"/>
    <mergeCell ref="B6:C6"/>
    <mergeCell ref="B4:C4"/>
    <mergeCell ref="B5:C5"/>
    <mergeCell ref="B7:C7"/>
    <mergeCell ref="B24:C24"/>
    <mergeCell ref="B25:C25"/>
    <mergeCell ref="B21:C21"/>
    <mergeCell ref="B23:C23"/>
    <mergeCell ref="B12:C12"/>
    <mergeCell ref="B14:C14"/>
    <mergeCell ref="B15:C15"/>
    <mergeCell ref="B22:C22"/>
    <mergeCell ref="B10:C10"/>
    <mergeCell ref="B11:C11"/>
    <mergeCell ref="B18:C18"/>
    <mergeCell ref="B19:C19"/>
    <mergeCell ref="B20:C20"/>
    <mergeCell ref="B2:G2"/>
    <mergeCell ref="B8:C8"/>
    <mergeCell ref="B13:C13"/>
    <mergeCell ref="B16:C16"/>
    <mergeCell ref="B17:C17"/>
  </mergeCells>
  <pageMargins left="0.70866141732283472" right="0.70866141732283472" top="0.74803149606299213" bottom="0.74803149606299213" header="0.31496062992125984" footer="0.31496062992125984"/>
  <pageSetup paperSize="9" scale="14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53"/>
  <sheetViews>
    <sheetView showGridLines="0" workbookViewId="0">
      <selection activeCell="G51" sqref="G51"/>
    </sheetView>
  </sheetViews>
  <sheetFormatPr baseColWidth="10" defaultRowHeight="15.6" x14ac:dyDescent="0.3"/>
  <cols>
    <col min="1" max="1" width="5.59765625" customWidth="1"/>
    <col min="2" max="2" width="52.59765625" customWidth="1"/>
    <col min="3" max="3" width="11.3984375" style="43" bestFit="1" customWidth="1"/>
    <col min="4" max="4" width="11" style="43"/>
    <col min="5" max="5" width="12.09765625" bestFit="1" customWidth="1"/>
  </cols>
  <sheetData>
    <row r="1" spans="2:22" ht="24.9" customHeight="1" x14ac:dyDescent="0.3"/>
    <row r="2" spans="2:22" ht="24.9" customHeight="1" x14ac:dyDescent="0.3">
      <c r="B2" s="261" t="s">
        <v>127</v>
      </c>
      <c r="C2" s="261"/>
      <c r="D2" s="261"/>
    </row>
    <row r="3" spans="2:22" ht="15.75" customHeight="1" x14ac:dyDescent="0.3">
      <c r="B3" s="114"/>
      <c r="C3" s="114"/>
      <c r="D3" s="114"/>
    </row>
    <row r="5" spans="2:22" ht="31.2" x14ac:dyDescent="0.3">
      <c r="B5" s="217"/>
      <c r="C5" s="84" t="s">
        <v>91</v>
      </c>
      <c r="D5" s="84" t="s">
        <v>90</v>
      </c>
    </row>
    <row r="6" spans="2:22" ht="16.5" customHeight="1" x14ac:dyDescent="0.3">
      <c r="C6" s="218"/>
      <c r="D6" s="218"/>
    </row>
    <row r="7" spans="2:22" ht="16.5" customHeight="1" x14ac:dyDescent="0.3">
      <c r="B7" s="226" t="s">
        <v>89</v>
      </c>
      <c r="C7" s="227"/>
      <c r="D7" s="227"/>
    </row>
    <row r="8" spans="2:22" x14ac:dyDescent="0.3">
      <c r="B8" s="219" t="s">
        <v>88</v>
      </c>
      <c r="C8" s="220">
        <f>254.56/216.05</f>
        <v>1.1782457764406387</v>
      </c>
      <c r="D8" s="221">
        <f>226.96/231.3</f>
        <v>0.98123648940769559</v>
      </c>
    </row>
    <row r="9" spans="2:22" x14ac:dyDescent="0.3">
      <c r="B9" s="219" t="s">
        <v>87</v>
      </c>
      <c r="C9" s="220">
        <f>(219.83+124.3)/305.62</f>
        <v>1.1260061514298803</v>
      </c>
      <c r="D9" s="221">
        <f>(175.88+104.5)/284.72</f>
        <v>0.98475695420061804</v>
      </c>
    </row>
    <row r="10" spans="2:22" x14ac:dyDescent="0.3">
      <c r="B10" s="219" t="s">
        <v>86</v>
      </c>
      <c r="C10" s="220">
        <f>73.46/219.83</f>
        <v>0.33416731110403491</v>
      </c>
      <c r="D10" s="221">
        <f>91.23/175.88</f>
        <v>0.51870593586536273</v>
      </c>
    </row>
    <row r="11" spans="2:22" x14ac:dyDescent="0.3">
      <c r="B11" s="219" t="s">
        <v>85</v>
      </c>
      <c r="C11" s="220">
        <f>73.46/58.25</f>
        <v>1.2611158798283262</v>
      </c>
      <c r="D11" s="221">
        <f>91.23/32.62</f>
        <v>2.796750459840589</v>
      </c>
    </row>
    <row r="12" spans="2:22" x14ac:dyDescent="0.3">
      <c r="B12" s="219" t="s">
        <v>84</v>
      </c>
      <c r="C12" s="221">
        <f>(50.87/338.32)*100</f>
        <v>15.036060534405296</v>
      </c>
      <c r="D12" s="221">
        <f>(12.75/306.45)*100</f>
        <v>4.1605482134116496</v>
      </c>
    </row>
    <row r="13" spans="2:22" x14ac:dyDescent="0.3">
      <c r="B13" s="219" t="s">
        <v>83</v>
      </c>
      <c r="C13" s="222">
        <f>((102.13+113.5)/2)/(602.54)*365</f>
        <v>65.310975204965644</v>
      </c>
      <c r="D13" s="8">
        <v>68</v>
      </c>
      <c r="E13" s="49"/>
    </row>
    <row r="14" spans="2:22" x14ac:dyDescent="0.3">
      <c r="B14" s="219" t="s">
        <v>82</v>
      </c>
      <c r="C14" s="223">
        <f>((105.31)/(563)*365)</f>
        <v>68.273801065719368</v>
      </c>
      <c r="D14" s="8">
        <v>70.7</v>
      </c>
      <c r="E14" s="3"/>
      <c r="F14" s="50"/>
    </row>
    <row r="15" spans="2:22" x14ac:dyDescent="0.3">
      <c r="B15" s="219"/>
      <c r="C15" s="223"/>
      <c r="D15" s="8"/>
      <c r="E15" s="3"/>
      <c r="F15" s="50"/>
    </row>
    <row r="16" spans="2:22" x14ac:dyDescent="0.3">
      <c r="B16" s="226" t="s">
        <v>81</v>
      </c>
      <c r="C16" s="228"/>
      <c r="D16" s="228"/>
      <c r="L16" s="43" t="s">
        <v>93</v>
      </c>
      <c r="M16" s="43"/>
      <c r="N16" s="43"/>
      <c r="O16" s="43"/>
      <c r="P16" s="43"/>
      <c r="Q16" s="43"/>
      <c r="R16" s="43"/>
      <c r="S16" s="43"/>
      <c r="T16" s="43"/>
      <c r="U16" s="43"/>
      <c r="V16" s="43"/>
    </row>
    <row r="17" spans="2:4" x14ac:dyDescent="0.3">
      <c r="B17" s="219" t="s">
        <v>80</v>
      </c>
      <c r="C17" s="8">
        <v>2.0499999999999998</v>
      </c>
      <c r="D17" s="8">
        <v>2.14</v>
      </c>
    </row>
    <row r="18" spans="2:4" x14ac:dyDescent="0.3">
      <c r="B18" s="219" t="s">
        <v>79</v>
      </c>
      <c r="C18" s="8">
        <f>58.49+81.82</f>
        <v>140.31</v>
      </c>
      <c r="D18" s="52">
        <f>32.62+79.86</f>
        <v>112.47999999999999</v>
      </c>
    </row>
    <row r="19" spans="2:4" x14ac:dyDescent="0.3">
      <c r="B19" s="219" t="s">
        <v>78</v>
      </c>
      <c r="C19" s="224">
        <f>(C18/1357)*1000000</f>
        <v>103397.19970523214</v>
      </c>
      <c r="D19" s="224">
        <v>82162.16</v>
      </c>
    </row>
    <row r="20" spans="2:4" x14ac:dyDescent="0.3">
      <c r="B20" s="219" t="s">
        <v>77</v>
      </c>
      <c r="C20" s="221">
        <f>((620.11-270.22)/620.11)*100</f>
        <v>56.423860282853035</v>
      </c>
      <c r="D20" s="221">
        <f>((627.21-279.41)/627.21)*100</f>
        <v>55.451922003794586</v>
      </c>
    </row>
    <row r="21" spans="2:4" x14ac:dyDescent="0.3">
      <c r="B21" s="219" t="s">
        <v>76</v>
      </c>
      <c r="C21" s="221">
        <f>58.25/602.54*100</f>
        <v>9.6674079729146616</v>
      </c>
      <c r="D21" s="221">
        <f>32.62/618.27*100</f>
        <v>5.2760120982742169</v>
      </c>
    </row>
    <row r="22" spans="2:4" x14ac:dyDescent="0.3">
      <c r="B22" s="219"/>
      <c r="C22" s="221"/>
      <c r="D22" s="221"/>
    </row>
    <row r="23" spans="2:4" x14ac:dyDescent="0.3">
      <c r="B23" s="226" t="s">
        <v>75</v>
      </c>
      <c r="C23" s="228"/>
      <c r="D23" s="228"/>
    </row>
    <row r="24" spans="2:4" x14ac:dyDescent="0.3">
      <c r="B24" s="219" t="s">
        <v>74</v>
      </c>
      <c r="C24" s="8">
        <v>1.84</v>
      </c>
      <c r="D24" s="8">
        <v>0.62</v>
      </c>
    </row>
    <row r="25" spans="2:4" x14ac:dyDescent="0.3">
      <c r="B25" s="219" t="s">
        <v>73</v>
      </c>
      <c r="C25" s="8">
        <v>209.92</v>
      </c>
      <c r="D25" s="8">
        <v>70.28</v>
      </c>
    </row>
    <row r="26" spans="2:4" x14ac:dyDescent="0.3">
      <c r="B26" s="219" t="s">
        <v>72</v>
      </c>
      <c r="C26" s="221">
        <f>45.16/114.09</f>
        <v>0.39582785520203345</v>
      </c>
      <c r="D26" s="221">
        <f>7.24/114.09</f>
        <v>6.3458672977473929E-2</v>
      </c>
    </row>
    <row r="27" spans="2:4" x14ac:dyDescent="0.3">
      <c r="B27" s="219" t="s">
        <v>71</v>
      </c>
      <c r="C27" s="221">
        <f>38.95/114.09</f>
        <v>0.341397142606714</v>
      </c>
      <c r="D27" s="221">
        <f>14/114.09</f>
        <v>0.12271014111666229</v>
      </c>
    </row>
    <row r="28" spans="2:4" x14ac:dyDescent="0.3">
      <c r="B28" s="219" t="s">
        <v>70</v>
      </c>
      <c r="C28" s="221">
        <f>209.92/45.16</f>
        <v>4.6483613817537641</v>
      </c>
      <c r="D28" s="221">
        <f>70.28/7.24</f>
        <v>9.7071823204419889</v>
      </c>
    </row>
    <row r="29" spans="2:4" x14ac:dyDescent="0.3">
      <c r="B29" s="219" t="s">
        <v>12</v>
      </c>
      <c r="C29" s="221">
        <f>209.92/219.83</f>
        <v>0.95491971068552961</v>
      </c>
      <c r="D29" s="221">
        <f>70.28/175.88</f>
        <v>0.39959062997498296</v>
      </c>
    </row>
    <row r="30" spans="2:4" x14ac:dyDescent="0.3">
      <c r="B30" s="219"/>
      <c r="C30" s="221"/>
      <c r="D30" s="221"/>
    </row>
    <row r="31" spans="2:4" x14ac:dyDescent="0.3">
      <c r="B31" s="226" t="s">
        <v>69</v>
      </c>
      <c r="C31" s="228"/>
      <c r="D31" s="228"/>
    </row>
    <row r="32" spans="2:4" x14ac:dyDescent="0.3">
      <c r="B32" s="219" t="s">
        <v>68</v>
      </c>
      <c r="C32" s="8">
        <v>2.97</v>
      </c>
      <c r="D32" s="8">
        <v>1.67</v>
      </c>
    </row>
    <row r="33" spans="2:6" x14ac:dyDescent="0.3">
      <c r="B33" s="219" t="s">
        <v>67</v>
      </c>
      <c r="C33" s="8">
        <v>4.8499999999999996</v>
      </c>
      <c r="D33" s="8">
        <v>3.03</v>
      </c>
    </row>
    <row r="34" spans="2:6" x14ac:dyDescent="0.3">
      <c r="B34" s="219" t="s">
        <v>66</v>
      </c>
      <c r="C34" s="220">
        <v>4.5</v>
      </c>
      <c r="D34" s="8">
        <v>4.17</v>
      </c>
    </row>
    <row r="35" spans="2:6" x14ac:dyDescent="0.3">
      <c r="B35" s="219" t="s">
        <v>65</v>
      </c>
      <c r="C35" s="225">
        <v>1060</v>
      </c>
      <c r="D35" s="225">
        <v>1058</v>
      </c>
    </row>
    <row r="36" spans="2:6" ht="19.8" x14ac:dyDescent="0.3">
      <c r="B36" s="219" t="s">
        <v>130</v>
      </c>
      <c r="C36" s="8">
        <v>0.66</v>
      </c>
      <c r="D36" s="8">
        <v>0.67</v>
      </c>
    </row>
    <row r="37" spans="2:6" x14ac:dyDescent="0.3">
      <c r="B37" s="219" t="s">
        <v>64</v>
      </c>
      <c r="C37" s="8">
        <v>100</v>
      </c>
      <c r="D37" s="8">
        <v>100</v>
      </c>
    </row>
    <row r="38" spans="2:6" x14ac:dyDescent="0.3">
      <c r="B38" s="219" t="s">
        <v>63</v>
      </c>
      <c r="C38" s="8">
        <v>100</v>
      </c>
      <c r="D38" s="8">
        <v>100</v>
      </c>
    </row>
    <row r="39" spans="2:6" x14ac:dyDescent="0.3">
      <c r="B39" s="219" t="s">
        <v>62</v>
      </c>
      <c r="C39" s="8">
        <v>100</v>
      </c>
      <c r="D39" s="8">
        <v>100</v>
      </c>
    </row>
    <row r="41" spans="2:6" ht="16.8" x14ac:dyDescent="0.3">
      <c r="B41" s="229" t="s">
        <v>128</v>
      </c>
    </row>
    <row r="42" spans="2:6" x14ac:dyDescent="0.3">
      <c r="B42" s="229" t="s">
        <v>129</v>
      </c>
    </row>
    <row r="44" spans="2:6" x14ac:dyDescent="0.3">
      <c r="B44" s="233" t="s">
        <v>132</v>
      </c>
      <c r="F44" s="51"/>
    </row>
    <row r="45" spans="2:6" x14ac:dyDescent="0.3">
      <c r="B45" s="234"/>
    </row>
    <row r="46" spans="2:6" x14ac:dyDescent="0.3">
      <c r="B46" s="234" t="s">
        <v>133</v>
      </c>
    </row>
    <row r="47" spans="2:6" x14ac:dyDescent="0.3">
      <c r="B47" s="234" t="s">
        <v>134</v>
      </c>
    </row>
    <row r="48" spans="2:6" ht="26.4" x14ac:dyDescent="0.3">
      <c r="B48" s="234" t="s">
        <v>135</v>
      </c>
    </row>
    <row r="49" spans="2:2" x14ac:dyDescent="0.3">
      <c r="B49" s="234"/>
    </row>
    <row r="50" spans="2:2" x14ac:dyDescent="0.3">
      <c r="B50" s="234" t="s">
        <v>136</v>
      </c>
    </row>
    <row r="51" spans="2:2" ht="26.4" x14ac:dyDescent="0.3">
      <c r="B51" s="234" t="s">
        <v>137</v>
      </c>
    </row>
    <row r="52" spans="2:2" ht="26.4" x14ac:dyDescent="0.3">
      <c r="B52" s="234" t="s">
        <v>138</v>
      </c>
    </row>
    <row r="53" spans="2:2" x14ac:dyDescent="0.3">
      <c r="B53" s="234"/>
    </row>
    <row r="54" spans="2:2" x14ac:dyDescent="0.3">
      <c r="B54" s="234" t="s">
        <v>139</v>
      </c>
    </row>
    <row r="55" spans="2:2" x14ac:dyDescent="0.3">
      <c r="B55" s="234" t="s">
        <v>140</v>
      </c>
    </row>
    <row r="56" spans="2:2" x14ac:dyDescent="0.3">
      <c r="B56" s="234" t="s">
        <v>141</v>
      </c>
    </row>
    <row r="57" spans="2:2" x14ac:dyDescent="0.3">
      <c r="B57" s="234"/>
    </row>
    <row r="58" spans="2:2" x14ac:dyDescent="0.3">
      <c r="B58" s="234" t="s">
        <v>142</v>
      </c>
    </row>
    <row r="59" spans="2:2" x14ac:dyDescent="0.3">
      <c r="B59" s="234" t="s">
        <v>143</v>
      </c>
    </row>
    <row r="60" spans="2:2" ht="26.4" x14ac:dyDescent="0.3">
      <c r="B60" s="234" t="s">
        <v>144</v>
      </c>
    </row>
    <row r="61" spans="2:2" x14ac:dyDescent="0.3">
      <c r="B61" s="234"/>
    </row>
    <row r="62" spans="2:2" x14ac:dyDescent="0.3">
      <c r="B62" s="234" t="s">
        <v>145</v>
      </c>
    </row>
    <row r="63" spans="2:2" x14ac:dyDescent="0.3">
      <c r="B63" s="234" t="s">
        <v>146</v>
      </c>
    </row>
    <row r="64" spans="2:2" ht="26.4" x14ac:dyDescent="0.3">
      <c r="B64" s="234" t="s">
        <v>147</v>
      </c>
    </row>
    <row r="65" spans="2:2" x14ac:dyDescent="0.3">
      <c r="B65" s="234"/>
    </row>
    <row r="66" spans="2:2" x14ac:dyDescent="0.3">
      <c r="B66" s="234" t="s">
        <v>148</v>
      </c>
    </row>
    <row r="67" spans="2:2" x14ac:dyDescent="0.3">
      <c r="B67" s="234" t="s">
        <v>149</v>
      </c>
    </row>
    <row r="68" spans="2:2" ht="26.4" x14ac:dyDescent="0.3">
      <c r="B68" s="234" t="s">
        <v>150</v>
      </c>
    </row>
    <row r="69" spans="2:2" x14ac:dyDescent="0.3">
      <c r="B69" s="234"/>
    </row>
    <row r="70" spans="2:2" x14ac:dyDescent="0.3">
      <c r="B70" s="234" t="s">
        <v>151</v>
      </c>
    </row>
    <row r="71" spans="2:2" ht="26.4" x14ac:dyDescent="0.3">
      <c r="B71" s="234" t="s">
        <v>152</v>
      </c>
    </row>
    <row r="72" spans="2:2" ht="26.4" x14ac:dyDescent="0.3">
      <c r="B72" s="234" t="s">
        <v>153</v>
      </c>
    </row>
    <row r="73" spans="2:2" x14ac:dyDescent="0.3">
      <c r="B73" s="234"/>
    </row>
    <row r="74" spans="2:2" x14ac:dyDescent="0.3">
      <c r="B74" s="234" t="s">
        <v>154</v>
      </c>
    </row>
    <row r="75" spans="2:2" x14ac:dyDescent="0.3">
      <c r="B75" s="234" t="s">
        <v>155</v>
      </c>
    </row>
    <row r="76" spans="2:2" x14ac:dyDescent="0.3">
      <c r="B76" s="234" t="s">
        <v>156</v>
      </c>
    </row>
    <row r="77" spans="2:2" x14ac:dyDescent="0.3">
      <c r="B77" s="234"/>
    </row>
    <row r="78" spans="2:2" x14ac:dyDescent="0.3">
      <c r="B78" s="234" t="s">
        <v>157</v>
      </c>
    </row>
    <row r="79" spans="2:2" x14ac:dyDescent="0.3">
      <c r="B79" s="234" t="s">
        <v>158</v>
      </c>
    </row>
    <row r="80" spans="2:2" x14ac:dyDescent="0.3">
      <c r="B80" s="234" t="s">
        <v>159</v>
      </c>
    </row>
    <row r="81" spans="2:2" x14ac:dyDescent="0.3">
      <c r="B81" s="234"/>
    </row>
    <row r="82" spans="2:2" x14ac:dyDescent="0.3">
      <c r="B82" s="234" t="s">
        <v>160</v>
      </c>
    </row>
    <row r="83" spans="2:2" x14ac:dyDescent="0.3">
      <c r="B83" s="234" t="s">
        <v>161</v>
      </c>
    </row>
    <row r="84" spans="2:2" ht="26.4" x14ac:dyDescent="0.3">
      <c r="B84" s="234" t="s">
        <v>162</v>
      </c>
    </row>
    <row r="85" spans="2:2" x14ac:dyDescent="0.3">
      <c r="B85" s="234"/>
    </row>
    <row r="86" spans="2:2" x14ac:dyDescent="0.3">
      <c r="B86" s="234" t="s">
        <v>163</v>
      </c>
    </row>
    <row r="87" spans="2:2" x14ac:dyDescent="0.3">
      <c r="B87" s="234" t="s">
        <v>164</v>
      </c>
    </row>
    <row r="88" spans="2:2" x14ac:dyDescent="0.3">
      <c r="B88" s="234" t="s">
        <v>165</v>
      </c>
    </row>
    <row r="89" spans="2:2" x14ac:dyDescent="0.3">
      <c r="B89" s="234"/>
    </row>
    <row r="90" spans="2:2" x14ac:dyDescent="0.3">
      <c r="B90" s="234" t="s">
        <v>166</v>
      </c>
    </row>
    <row r="91" spans="2:2" x14ac:dyDescent="0.3">
      <c r="B91" s="234" t="s">
        <v>167</v>
      </c>
    </row>
    <row r="92" spans="2:2" ht="26.4" x14ac:dyDescent="0.3">
      <c r="B92" s="234" t="s">
        <v>168</v>
      </c>
    </row>
    <row r="93" spans="2:2" x14ac:dyDescent="0.3">
      <c r="B93" s="234"/>
    </row>
    <row r="94" spans="2:2" x14ac:dyDescent="0.3">
      <c r="B94" s="234" t="s">
        <v>169</v>
      </c>
    </row>
    <row r="95" spans="2:2" ht="26.4" x14ac:dyDescent="0.3">
      <c r="B95" s="234" t="s">
        <v>170</v>
      </c>
    </row>
    <row r="96" spans="2:2" ht="26.4" x14ac:dyDescent="0.3">
      <c r="B96" s="234" t="s">
        <v>171</v>
      </c>
    </row>
    <row r="97" spans="2:2" x14ac:dyDescent="0.3">
      <c r="B97" s="234"/>
    </row>
    <row r="98" spans="2:2" x14ac:dyDescent="0.3">
      <c r="B98" s="234" t="s">
        <v>172</v>
      </c>
    </row>
    <row r="99" spans="2:2" x14ac:dyDescent="0.3">
      <c r="B99" s="234" t="s">
        <v>173</v>
      </c>
    </row>
    <row r="100" spans="2:2" ht="26.4" x14ac:dyDescent="0.3">
      <c r="B100" s="234" t="s">
        <v>174</v>
      </c>
    </row>
    <row r="101" spans="2:2" x14ac:dyDescent="0.3">
      <c r="B101" s="234"/>
    </row>
    <row r="102" spans="2:2" x14ac:dyDescent="0.3">
      <c r="B102" s="234" t="s">
        <v>175</v>
      </c>
    </row>
    <row r="103" spans="2:2" x14ac:dyDescent="0.3">
      <c r="B103" s="234" t="s">
        <v>176</v>
      </c>
    </row>
    <row r="104" spans="2:2" x14ac:dyDescent="0.3">
      <c r="B104" s="234" t="s">
        <v>177</v>
      </c>
    </row>
    <row r="105" spans="2:2" x14ac:dyDescent="0.3">
      <c r="B105" s="234"/>
    </row>
    <row r="106" spans="2:2" x14ac:dyDescent="0.3">
      <c r="B106" s="234" t="s">
        <v>178</v>
      </c>
    </row>
    <row r="107" spans="2:2" x14ac:dyDescent="0.3">
      <c r="B107" s="234" t="s">
        <v>179</v>
      </c>
    </row>
    <row r="108" spans="2:2" ht="26.4" x14ac:dyDescent="0.3">
      <c r="B108" s="234" t="s">
        <v>180</v>
      </c>
    </row>
    <row r="109" spans="2:2" x14ac:dyDescent="0.3">
      <c r="B109" s="234"/>
    </row>
    <row r="110" spans="2:2" x14ac:dyDescent="0.3">
      <c r="B110" s="234" t="s">
        <v>181</v>
      </c>
    </row>
    <row r="111" spans="2:2" x14ac:dyDescent="0.3">
      <c r="B111" s="234" t="s">
        <v>182</v>
      </c>
    </row>
    <row r="112" spans="2:2" ht="26.4" x14ac:dyDescent="0.3">
      <c r="B112" s="234" t="s">
        <v>183</v>
      </c>
    </row>
    <row r="113" spans="2:2" x14ac:dyDescent="0.3">
      <c r="B113" s="234"/>
    </row>
    <row r="114" spans="2:2" x14ac:dyDescent="0.3">
      <c r="B114" s="234" t="s">
        <v>184</v>
      </c>
    </row>
    <row r="115" spans="2:2" x14ac:dyDescent="0.3">
      <c r="B115" s="234" t="s">
        <v>185</v>
      </c>
    </row>
    <row r="116" spans="2:2" ht="26.4" x14ac:dyDescent="0.3">
      <c r="B116" s="234" t="s">
        <v>186</v>
      </c>
    </row>
    <row r="117" spans="2:2" x14ac:dyDescent="0.3">
      <c r="B117" s="234"/>
    </row>
    <row r="118" spans="2:2" x14ac:dyDescent="0.3">
      <c r="B118" s="234" t="s">
        <v>187</v>
      </c>
    </row>
    <row r="119" spans="2:2" ht="26.4" x14ac:dyDescent="0.3">
      <c r="B119" s="234" t="s">
        <v>188</v>
      </c>
    </row>
    <row r="120" spans="2:2" x14ac:dyDescent="0.3">
      <c r="B120" s="234" t="s">
        <v>189</v>
      </c>
    </row>
    <row r="121" spans="2:2" x14ac:dyDescent="0.3">
      <c r="B121" s="234"/>
    </row>
    <row r="122" spans="2:2" x14ac:dyDescent="0.3">
      <c r="B122" s="234" t="s">
        <v>190</v>
      </c>
    </row>
    <row r="123" spans="2:2" ht="26.4" x14ac:dyDescent="0.3">
      <c r="B123" s="234" t="s">
        <v>191</v>
      </c>
    </row>
    <row r="124" spans="2:2" ht="39.6" x14ac:dyDescent="0.3">
      <c r="B124" s="234" t="s">
        <v>192</v>
      </c>
    </row>
    <row r="125" spans="2:2" x14ac:dyDescent="0.3">
      <c r="B125" s="233"/>
    </row>
    <row r="126" spans="2:2" x14ac:dyDescent="0.3">
      <c r="B126" s="234" t="s">
        <v>193</v>
      </c>
    </row>
    <row r="127" spans="2:2" ht="26.4" x14ac:dyDescent="0.3">
      <c r="B127" s="234" t="s">
        <v>194</v>
      </c>
    </row>
    <row r="128" spans="2:2" ht="26.4" x14ac:dyDescent="0.3">
      <c r="B128" s="234" t="s">
        <v>195</v>
      </c>
    </row>
    <row r="129" spans="2:2" x14ac:dyDescent="0.3">
      <c r="B129" s="234"/>
    </row>
    <row r="130" spans="2:2" x14ac:dyDescent="0.3">
      <c r="B130" s="234" t="s">
        <v>196</v>
      </c>
    </row>
    <row r="131" spans="2:2" ht="26.4" x14ac:dyDescent="0.3">
      <c r="B131" s="234" t="s">
        <v>197</v>
      </c>
    </row>
    <row r="132" spans="2:2" ht="26.4" x14ac:dyDescent="0.3">
      <c r="B132" s="234" t="s">
        <v>198</v>
      </c>
    </row>
    <row r="133" spans="2:2" x14ac:dyDescent="0.3">
      <c r="B133" s="234"/>
    </row>
    <row r="134" spans="2:2" x14ac:dyDescent="0.3">
      <c r="B134" s="234" t="s">
        <v>199</v>
      </c>
    </row>
    <row r="135" spans="2:2" ht="26.4" x14ac:dyDescent="0.3">
      <c r="B135" s="234" t="s">
        <v>200</v>
      </c>
    </row>
    <row r="136" spans="2:2" ht="26.4" x14ac:dyDescent="0.3">
      <c r="B136" s="234" t="s">
        <v>201</v>
      </c>
    </row>
    <row r="137" spans="2:2" x14ac:dyDescent="0.3">
      <c r="B137" s="234"/>
    </row>
    <row r="138" spans="2:2" x14ac:dyDescent="0.3">
      <c r="B138" s="234" t="s">
        <v>202</v>
      </c>
    </row>
    <row r="139" spans="2:2" ht="26.4" x14ac:dyDescent="0.3">
      <c r="B139" s="234" t="s">
        <v>203</v>
      </c>
    </row>
    <row r="140" spans="2:2" ht="26.4" x14ac:dyDescent="0.3">
      <c r="B140" s="234" t="s">
        <v>204</v>
      </c>
    </row>
    <row r="141" spans="2:2" x14ac:dyDescent="0.3">
      <c r="B141" s="234"/>
    </row>
    <row r="142" spans="2:2" x14ac:dyDescent="0.3">
      <c r="B142" s="234" t="s">
        <v>205</v>
      </c>
    </row>
    <row r="143" spans="2:2" ht="26.4" x14ac:dyDescent="0.3">
      <c r="B143" s="234" t="s">
        <v>206</v>
      </c>
    </row>
    <row r="144" spans="2:2" ht="26.4" x14ac:dyDescent="0.3">
      <c r="B144" s="234" t="s">
        <v>207</v>
      </c>
    </row>
    <row r="145" spans="2:2" x14ac:dyDescent="0.3">
      <c r="B145" s="234"/>
    </row>
    <row r="146" spans="2:2" x14ac:dyDescent="0.3">
      <c r="B146" s="234" t="s">
        <v>208</v>
      </c>
    </row>
    <row r="147" spans="2:2" ht="26.4" x14ac:dyDescent="0.3">
      <c r="B147" s="234" t="s">
        <v>209</v>
      </c>
    </row>
    <row r="148" spans="2:2" ht="26.4" x14ac:dyDescent="0.3">
      <c r="B148" s="234" t="s">
        <v>210</v>
      </c>
    </row>
    <row r="149" spans="2:2" x14ac:dyDescent="0.3">
      <c r="B149" s="235"/>
    </row>
    <row r="150" spans="2:2" x14ac:dyDescent="0.3">
      <c r="B150" s="236" t="s">
        <v>211</v>
      </c>
    </row>
    <row r="151" spans="2:2" x14ac:dyDescent="0.3">
      <c r="B151" s="236" t="s">
        <v>212</v>
      </c>
    </row>
    <row r="152" spans="2:2" x14ac:dyDescent="0.3">
      <c r="B152" s="236" t="s">
        <v>213</v>
      </c>
    </row>
    <row r="153" spans="2:2" x14ac:dyDescent="0.3">
      <c r="B153" s="236" t="s">
        <v>214</v>
      </c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Resultados</vt:lpstr>
      <vt:lpstr>Resultados divisiones</vt:lpstr>
      <vt:lpstr>Ventas por mercados</vt:lpstr>
      <vt:lpstr>Efecto dólar</vt:lpstr>
      <vt:lpstr>Compras</vt:lpstr>
      <vt:lpstr>Personal</vt:lpstr>
      <vt:lpstr>Costes</vt:lpstr>
      <vt:lpstr>Balance</vt:lpstr>
      <vt:lpstr>Ratios</vt:lpstr>
      <vt:lpstr>Balance!Área_de_impresión</vt:lpstr>
      <vt:lpstr>Costes!Área_de_impresión</vt:lpstr>
      <vt:lpstr>Resultados!Área_de_impresión</vt:lpstr>
    </vt:vector>
  </TitlesOfParts>
  <Company>Ercros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Ercros</dc:creator>
  <cp:lastModifiedBy>IMMA</cp:lastModifiedBy>
  <cp:lastPrinted>2017-02-15T08:33:22Z</cp:lastPrinted>
  <dcterms:created xsi:type="dcterms:W3CDTF">2017-01-11T10:45:12Z</dcterms:created>
  <dcterms:modified xsi:type="dcterms:W3CDTF">2017-10-26T09:41:08Z</dcterms:modified>
</cp:coreProperties>
</file>