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onesa\Documents\2018 IA\"/>
    </mc:Choice>
  </mc:AlternateContent>
  <bookViews>
    <workbookView xWindow="0" yWindow="0" windowWidth="19320" windowHeight="11970" tabRatio="735" activeTab="1"/>
  </bookViews>
  <sheets>
    <sheet name="Resultados" sheetId="35" r:id="rId1"/>
    <sheet name="Resultados divisiones" sheetId="16" r:id="rId2"/>
    <sheet name="Ventas por mercados" sheetId="13" r:id="rId3"/>
    <sheet name="Efecto dólar" sheetId="33" r:id="rId4"/>
    <sheet name="Compras" sheetId="18" r:id="rId5"/>
    <sheet name="Personal" sheetId="1" r:id="rId6"/>
    <sheet name="Costes" sheetId="21" r:id="rId7"/>
    <sheet name="Balance" sheetId="19" r:id="rId8"/>
    <sheet name="Ratios " sheetId="57" r:id="rId9"/>
    <sheet name="CONSOLIDADO 2017 " sheetId="32" state="hidden" r:id="rId10"/>
    <sheet name="Precios" sheetId="10" state="hidden" r:id="rId11"/>
    <sheet name="PLANTILLA ACUMULADA J.C.E. 0,15" sheetId="42" state="hidden" r:id="rId12"/>
  </sheets>
  <externalReferences>
    <externalReference r:id="rId13"/>
    <externalReference r:id="rId14"/>
  </externalReferences>
  <definedNames>
    <definedName name="_xlnm._FilterDatabase" localSheetId="9" hidden="1">'CONSOLIDADO 2017 '!$A$1:$J$158</definedName>
    <definedName name="_xlnm.Print_Area" localSheetId="7">Balance!$B$2:$J$28</definedName>
    <definedName name="_xlnm.Print_Area" localSheetId="4">Compras!$B$4:$J$23</definedName>
    <definedName name="_xlnm.Print_Area" localSheetId="9">'CONSOLIDADO 2017 '!$A$1:$K$158</definedName>
    <definedName name="_xlnm.Print_Area" localSheetId="6">Costes!$B$2:$J$18</definedName>
    <definedName name="_xlnm.Print_Area" localSheetId="3">'Efecto dólar'!$B$2:$X$13</definedName>
    <definedName name="_xlnm.Print_Area" localSheetId="5">Personal!$B$2:$S$12</definedName>
    <definedName name="_xlnm.Print_Area" localSheetId="11">'PLANTILLA ACUMULADA J.C.E. 0,15'!$A$1:$O$238</definedName>
    <definedName name="_xlnm.Print_Area" localSheetId="8">'Ratios '!$B$2:$E$39</definedName>
    <definedName name="_xlnm.Print_Area" localSheetId="0">Resultados!$B$2:$J$34</definedName>
    <definedName name="_xlnm.Print_Area" localSheetId="1">'Resultados divisiones'!$B$2:$R$27</definedName>
    <definedName name="_xlnm.Print_Titles" localSheetId="9">'CONSOLIDADO 2017 '!$1:$2</definedName>
    <definedName name="Z_107C1929_9F7A_495F_BF25_41D2FF7209C5_.wvu.PrintTitles" localSheetId="9" hidden="1">'CONSOLIDADO 2017 '!$1:$2</definedName>
    <definedName name="Z_1136E482_A73B_4AC8_8342_0F3FB5146462_.wvu.PrintTitles" localSheetId="9" hidden="1">'CONSOLIDADO 2017 '!$1:$2</definedName>
    <definedName name="Z_6D99041F_C053_4D06_BDC8_5A5C5057C76A_.wvu.PrintTitles" localSheetId="9" hidden="1">'CONSOLIDADO 2017 '!$1:$2</definedName>
    <definedName name="Z_7DF64BCE_01A4_4AAC_AC3A_5DA43896524F_.wvu.PrintTitles" localSheetId="9" hidden="1">'CONSOLIDADO 2017 '!$1:$2</definedName>
    <definedName name="Z_981249E2_4030_4112_8130_C7A3F37B4E2E_.wvu.PrintTitles" localSheetId="9" hidden="1">'CONSOLIDADO 2017 '!$1:$2</definedName>
    <definedName name="Z_986691D6_F2E4_44FE_AFBD_892B89731958_.wvu.PrintTitles" localSheetId="9" hidden="1">'CONSOLIDADO 2017 '!$1:$2</definedName>
    <definedName name="Z_ACAD36E0_C89B_498B_B1D4_CDD1457C34D6_.wvu.PrintTitles" localSheetId="9" hidden="1">'CONSOLIDADO 2017 '!$1:$2</definedName>
    <definedName name="Z_EC012C50_5117_4D1A_A5F2_5AF4189C0F7E_.wvu.PrintTitles" localSheetId="9" hidden="1">'CONSOLIDADO 2017 '!$1:$2</definedName>
  </definedNames>
  <calcPr calcId="152511"/>
</workbook>
</file>

<file path=xl/calcChain.xml><?xml version="1.0" encoding="utf-8"?>
<calcChain xmlns="http://schemas.openxmlformats.org/spreadsheetml/2006/main">
  <c r="F25" i="19" l="1"/>
  <c r="D25" i="19"/>
  <c r="F17" i="19" l="1"/>
  <c r="F11" i="19"/>
  <c r="J7" i="19"/>
  <c r="J8" i="19"/>
  <c r="J9" i="19"/>
  <c r="J13" i="19"/>
  <c r="J14" i="19"/>
  <c r="J15" i="19"/>
  <c r="H8" i="19"/>
  <c r="H9" i="19"/>
  <c r="H13" i="19"/>
  <c r="H14" i="19"/>
  <c r="H15" i="19"/>
  <c r="J6" i="19"/>
  <c r="H6" i="19"/>
  <c r="D17" i="19"/>
  <c r="J17" i="19" s="1"/>
  <c r="D7" i="19"/>
  <c r="D11" i="19" s="1"/>
  <c r="Q12" i="16"/>
  <c r="E12" i="16"/>
  <c r="D12" i="16"/>
  <c r="P12" i="16" s="1"/>
  <c r="J14" i="21"/>
  <c r="S8" i="13"/>
  <c r="J16" i="21"/>
  <c r="J12" i="21"/>
  <c r="J11" i="21"/>
  <c r="J8" i="21"/>
  <c r="J7" i="21"/>
  <c r="J6" i="21"/>
  <c r="F14" i="21"/>
  <c r="D14" i="21"/>
  <c r="F10" i="21"/>
  <c r="D10" i="21"/>
  <c r="D18" i="21" s="1"/>
  <c r="J18" i="21" s="1"/>
  <c r="F6" i="21"/>
  <c r="D6" i="21"/>
  <c r="W10" i="33"/>
  <c r="W11" i="33"/>
  <c r="W9" i="33"/>
  <c r="X11" i="33"/>
  <c r="X10" i="33"/>
  <c r="X9" i="33"/>
  <c r="Q13" i="33"/>
  <c r="P13" i="33"/>
  <c r="M13" i="33"/>
  <c r="L13" i="33"/>
  <c r="I13" i="33"/>
  <c r="J13" i="33" s="1"/>
  <c r="H13" i="33"/>
  <c r="R19" i="16"/>
  <c r="N11" i="16"/>
  <c r="J11" i="16"/>
  <c r="N25" i="16"/>
  <c r="N24" i="16"/>
  <c r="N23" i="16"/>
  <c r="N19" i="16"/>
  <c r="N15" i="16"/>
  <c r="N9" i="16"/>
  <c r="M21" i="16"/>
  <c r="L21" i="16"/>
  <c r="N21" i="16" s="1"/>
  <c r="M18" i="16"/>
  <c r="L18" i="16"/>
  <c r="N18" i="16" s="1"/>
  <c r="J24" i="16"/>
  <c r="J25" i="16"/>
  <c r="J23" i="16"/>
  <c r="J19" i="16"/>
  <c r="J15" i="16"/>
  <c r="J9" i="16"/>
  <c r="I18" i="16"/>
  <c r="H18" i="16"/>
  <c r="J18" i="16" s="1"/>
  <c r="F24" i="16"/>
  <c r="F25" i="16"/>
  <c r="F19" i="16"/>
  <c r="F15" i="16"/>
  <c r="J32" i="35"/>
  <c r="E13" i="33"/>
  <c r="D13" i="33"/>
  <c r="E27" i="16"/>
  <c r="G27" i="16"/>
  <c r="H27" i="16"/>
  <c r="I27" i="16"/>
  <c r="L27" i="16"/>
  <c r="M27" i="16"/>
  <c r="D27" i="16"/>
  <c r="X13" i="33" l="1"/>
  <c r="W13" i="33"/>
  <c r="J11" i="19"/>
  <c r="H11" i="19"/>
  <c r="H7" i="19"/>
  <c r="J10" i="21"/>
  <c r="H17" i="19"/>
  <c r="F13" i="33"/>
  <c r="D22" i="19"/>
  <c r="F22" i="19"/>
  <c r="D23" i="19"/>
  <c r="F23" i="19"/>
  <c r="D24" i="19" l="1"/>
  <c r="F24" i="19"/>
  <c r="H9" i="18"/>
  <c r="J9" i="18"/>
  <c r="H10" i="18"/>
  <c r="J10" i="18"/>
  <c r="H11" i="18"/>
  <c r="J11" i="18"/>
  <c r="H12" i="18"/>
  <c r="J12" i="18"/>
  <c r="U10" i="13" l="1"/>
  <c r="P10" i="13"/>
  <c r="N10" i="13"/>
  <c r="K10" i="13"/>
  <c r="I10" i="13"/>
  <c r="D10" i="13"/>
  <c r="S10" i="13" s="1"/>
  <c r="F11" i="13"/>
  <c r="I15" i="13" l="1"/>
  <c r="S15" i="13"/>
  <c r="K15" i="13"/>
  <c r="U15" i="13"/>
  <c r="D15" i="13"/>
  <c r="N15" i="13"/>
  <c r="F10" i="13"/>
  <c r="P15" i="13"/>
  <c r="H27" i="35"/>
  <c r="T8" i="13" l="1"/>
  <c r="T13" i="13"/>
  <c r="T11" i="13"/>
  <c r="T12" i="13"/>
  <c r="L12" i="13"/>
  <c r="L8" i="13"/>
  <c r="L11" i="13"/>
  <c r="L10" i="13" s="1"/>
  <c r="J10" i="33"/>
  <c r="L13" i="13"/>
  <c r="O12" i="13"/>
  <c r="O8" i="13"/>
  <c r="O13" i="13"/>
  <c r="F11" i="33"/>
  <c r="O11" i="13"/>
  <c r="E13" i="13"/>
  <c r="E8" i="13"/>
  <c r="E11" i="13"/>
  <c r="E12" i="13"/>
  <c r="F9" i="33"/>
  <c r="J13" i="13"/>
  <c r="F10" i="33"/>
  <c r="J8" i="13"/>
  <c r="J12" i="13"/>
  <c r="J11" i="13"/>
  <c r="J10" i="13" s="1"/>
  <c r="J11" i="33"/>
  <c r="Q12" i="13"/>
  <c r="Q8" i="13"/>
  <c r="Q13" i="13"/>
  <c r="Q11" i="13"/>
  <c r="V11" i="13"/>
  <c r="V13" i="13"/>
  <c r="V12" i="13"/>
  <c r="V8" i="13"/>
  <c r="F15" i="13"/>
  <c r="F26" i="35"/>
  <c r="D26" i="35"/>
  <c r="H28" i="35"/>
  <c r="J28" i="35"/>
  <c r="T10" i="13" l="1"/>
  <c r="T15" i="13" s="1"/>
  <c r="G12" i="13"/>
  <c r="J9" i="33"/>
  <c r="G13" i="13"/>
  <c r="G8" i="13"/>
  <c r="G11" i="13"/>
  <c r="G10" i="13" s="1"/>
  <c r="J15" i="13"/>
  <c r="O10" i="13"/>
  <c r="O15" i="13" s="1"/>
  <c r="L15" i="13"/>
  <c r="V10" i="13"/>
  <c r="V15" i="13" s="1"/>
  <c r="Q10" i="13"/>
  <c r="Q15" i="13" s="1"/>
  <c r="E10" i="13"/>
  <c r="E15" i="13" s="1"/>
  <c r="Q11" i="16"/>
  <c r="E18" i="16"/>
  <c r="Q18" i="16" s="1"/>
  <c r="F9" i="16"/>
  <c r="P14" i="16"/>
  <c r="P13" i="16"/>
  <c r="F12" i="35"/>
  <c r="J9" i="35"/>
  <c r="G15" i="13" l="1"/>
  <c r="E29" i="57"/>
  <c r="E28" i="57"/>
  <c r="E21" i="57"/>
  <c r="C21" i="57"/>
  <c r="E20" i="57"/>
  <c r="C20" i="57"/>
  <c r="E18" i="57"/>
  <c r="C18" i="57"/>
  <c r="E13" i="57"/>
  <c r="C13" i="57"/>
  <c r="E11" i="57"/>
  <c r="C11" i="57"/>
  <c r="E10" i="57"/>
  <c r="C10" i="57"/>
  <c r="E9" i="57"/>
  <c r="C9" i="57"/>
  <c r="E8" i="57"/>
  <c r="J31" i="35" l="1"/>
  <c r="J27" i="35"/>
  <c r="J26" i="35"/>
  <c r="H26" i="35"/>
  <c r="J23" i="35"/>
  <c r="J22" i="35"/>
  <c r="H22" i="35"/>
  <c r="J21" i="35"/>
  <c r="J16" i="35"/>
  <c r="H16" i="35"/>
  <c r="J20" i="35"/>
  <c r="D15" i="35"/>
  <c r="H15" i="35" s="1"/>
  <c r="J14" i="35"/>
  <c r="H14" i="35"/>
  <c r="J13" i="35"/>
  <c r="H13" i="35"/>
  <c r="J10" i="35"/>
  <c r="J8" i="35"/>
  <c r="H8" i="35"/>
  <c r="J7" i="35"/>
  <c r="H7" i="35"/>
  <c r="F6" i="35"/>
  <c r="F18" i="35" s="1"/>
  <c r="D6" i="35"/>
  <c r="Q25" i="16"/>
  <c r="P25" i="16"/>
  <c r="Q24" i="16"/>
  <c r="P24" i="16"/>
  <c r="Q23" i="16"/>
  <c r="P23" i="16"/>
  <c r="F23" i="16"/>
  <c r="Q9" i="16"/>
  <c r="Q27" i="16" s="1"/>
  <c r="P9" i="16"/>
  <c r="H21" i="16"/>
  <c r="F14" i="18"/>
  <c r="D14" i="18"/>
  <c r="F7" i="18"/>
  <c r="D7" i="18"/>
  <c r="T9" i="33"/>
  <c r="U9" i="33"/>
  <c r="T10" i="33"/>
  <c r="U10" i="33"/>
  <c r="T11" i="33"/>
  <c r="U11" i="33"/>
  <c r="H16" i="21"/>
  <c r="H11" i="21"/>
  <c r="H12" i="21"/>
  <c r="H15" i="21"/>
  <c r="H8" i="21"/>
  <c r="F156" i="32"/>
  <c r="I155" i="32"/>
  <c r="I154" i="32"/>
  <c r="G154" i="32"/>
  <c r="B154" i="32"/>
  <c r="E149" i="32"/>
  <c r="H149" i="32" s="1"/>
  <c r="J149" i="32" s="1"/>
  <c r="E148" i="32"/>
  <c r="H148" i="32" s="1"/>
  <c r="J148" i="32" s="1"/>
  <c r="E147" i="32"/>
  <c r="H147" i="32" s="1"/>
  <c r="J147" i="32" s="1"/>
  <c r="E146" i="32"/>
  <c r="H146" i="32" s="1"/>
  <c r="J146" i="32" s="1"/>
  <c r="E145" i="32"/>
  <c r="H145" i="32"/>
  <c r="J145" i="32" s="1"/>
  <c r="E144" i="32"/>
  <c r="H144" i="32" s="1"/>
  <c r="J144" i="32" s="1"/>
  <c r="E143" i="32"/>
  <c r="H143" i="32" s="1"/>
  <c r="J143" i="32" s="1"/>
  <c r="E142" i="32"/>
  <c r="H142" i="32" s="1"/>
  <c r="J142" i="32" s="1"/>
  <c r="C141" i="32"/>
  <c r="C154" i="32"/>
  <c r="E140" i="32"/>
  <c r="H140" i="32" s="1"/>
  <c r="J140" i="32" s="1"/>
  <c r="E139" i="32"/>
  <c r="H139" i="32" s="1"/>
  <c r="J139" i="32" s="1"/>
  <c r="E138" i="32"/>
  <c r="H138" i="32"/>
  <c r="J138" i="32" s="1"/>
  <c r="E137" i="32"/>
  <c r="H137" i="32" s="1"/>
  <c r="J137" i="32" s="1"/>
  <c r="E136" i="32"/>
  <c r="H136" i="32" s="1"/>
  <c r="J136" i="32" s="1"/>
  <c r="E135" i="32"/>
  <c r="H135" i="32" s="1"/>
  <c r="J135" i="32" s="1"/>
  <c r="E134" i="32"/>
  <c r="H134" i="32"/>
  <c r="J134" i="32"/>
  <c r="E133" i="32"/>
  <c r="H133" i="32" s="1"/>
  <c r="J133" i="32" s="1"/>
  <c r="E132" i="32"/>
  <c r="H132" i="32" s="1"/>
  <c r="J132" i="32" s="1"/>
  <c r="E131" i="32"/>
  <c r="H131" i="32"/>
  <c r="J131" i="32" s="1"/>
  <c r="E130" i="32"/>
  <c r="H130" i="32" s="1"/>
  <c r="J130" i="32" s="1"/>
  <c r="E129" i="32"/>
  <c r="H129" i="32" s="1"/>
  <c r="J129" i="32" s="1"/>
  <c r="E128" i="32"/>
  <c r="H128" i="32" s="1"/>
  <c r="J128" i="32" s="1"/>
  <c r="F127" i="32"/>
  <c r="F155" i="32"/>
  <c r="C127" i="32"/>
  <c r="E127" i="32" s="1"/>
  <c r="H127" i="32" s="1"/>
  <c r="J127" i="32" s="1"/>
  <c r="E126" i="32"/>
  <c r="H126" i="32" s="1"/>
  <c r="J126" i="32" s="1"/>
  <c r="E125" i="32"/>
  <c r="H125" i="32"/>
  <c r="J125" i="32" s="1"/>
  <c r="E124" i="32"/>
  <c r="H124" i="32" s="1"/>
  <c r="J124" i="32" s="1"/>
  <c r="E123" i="32"/>
  <c r="H123" i="32" s="1"/>
  <c r="J123" i="32" s="1"/>
  <c r="E122" i="32"/>
  <c r="H122" i="32" s="1"/>
  <c r="J122" i="32" s="1"/>
  <c r="E121" i="32"/>
  <c r="H121" i="32"/>
  <c r="J121" i="32" s="1"/>
  <c r="E120" i="32"/>
  <c r="H120" i="32" s="1"/>
  <c r="J120" i="32" s="1"/>
  <c r="E119" i="32"/>
  <c r="H119" i="32" s="1"/>
  <c r="J119" i="32" s="1"/>
  <c r="E118" i="32"/>
  <c r="H118" i="32" s="1"/>
  <c r="J118" i="32" s="1"/>
  <c r="E117" i="32"/>
  <c r="H117" i="32" s="1"/>
  <c r="J117" i="32" s="1"/>
  <c r="E116" i="32"/>
  <c r="H116" i="32"/>
  <c r="J116" i="32" s="1"/>
  <c r="E115" i="32"/>
  <c r="H115" i="32" s="1"/>
  <c r="J115" i="32" s="1"/>
  <c r="E114" i="32"/>
  <c r="H114" i="32" s="1"/>
  <c r="J114" i="32" s="1"/>
  <c r="E113" i="32"/>
  <c r="H113" i="32" s="1"/>
  <c r="J113" i="32" s="1"/>
  <c r="E112" i="32"/>
  <c r="H112" i="32"/>
  <c r="J112" i="32"/>
  <c r="E111" i="32"/>
  <c r="H111" i="32" s="1"/>
  <c r="J111" i="32" s="1"/>
  <c r="C110" i="32"/>
  <c r="E110" i="32" s="1"/>
  <c r="H110" i="32" s="1"/>
  <c r="J110" i="32" s="1"/>
  <c r="E109" i="32"/>
  <c r="H109" i="32" s="1"/>
  <c r="J109" i="32" s="1"/>
  <c r="E108" i="32"/>
  <c r="H108" i="32" s="1"/>
  <c r="J108" i="32" s="1"/>
  <c r="E107" i="32"/>
  <c r="H107" i="32"/>
  <c r="J107" i="32"/>
  <c r="E106" i="32"/>
  <c r="H106" i="32" s="1"/>
  <c r="J106" i="32" s="1"/>
  <c r="E105" i="32"/>
  <c r="H105" i="32" s="1"/>
  <c r="J105" i="32" s="1"/>
  <c r="E104" i="32"/>
  <c r="H104" i="32" s="1"/>
  <c r="J104" i="32" s="1"/>
  <c r="E103" i="32"/>
  <c r="H103" i="32" s="1"/>
  <c r="J103" i="32" s="1"/>
  <c r="E102" i="32"/>
  <c r="H102" i="32" s="1"/>
  <c r="J102" i="32" s="1"/>
  <c r="E101" i="32"/>
  <c r="H101" i="32" s="1"/>
  <c r="J101" i="32" s="1"/>
  <c r="E100" i="32"/>
  <c r="H100" i="32" s="1"/>
  <c r="J100" i="32" s="1"/>
  <c r="E99" i="32"/>
  <c r="H99" i="32"/>
  <c r="J99" i="32"/>
  <c r="E98" i="32"/>
  <c r="H98" i="32" s="1"/>
  <c r="J98" i="32" s="1"/>
  <c r="E97" i="32"/>
  <c r="H97" i="32" s="1"/>
  <c r="J97" i="32" s="1"/>
  <c r="E96" i="32"/>
  <c r="H96" i="32" s="1"/>
  <c r="J96" i="32" s="1"/>
  <c r="E95" i="32"/>
  <c r="H95" i="32" s="1"/>
  <c r="J95" i="32" s="1"/>
  <c r="C94" i="32"/>
  <c r="E94" i="32" s="1"/>
  <c r="H94" i="32" s="1"/>
  <c r="J94" i="32" s="1"/>
  <c r="E93" i="32"/>
  <c r="H93" i="32" s="1"/>
  <c r="J93" i="32" s="1"/>
  <c r="E92" i="32"/>
  <c r="H92" i="32" s="1"/>
  <c r="J92" i="32" s="1"/>
  <c r="E91" i="32"/>
  <c r="H91" i="32"/>
  <c r="J91" i="32" s="1"/>
  <c r="E90" i="32"/>
  <c r="H90" i="32" s="1"/>
  <c r="J90" i="32" s="1"/>
  <c r="E89" i="32"/>
  <c r="H89" i="32" s="1"/>
  <c r="J89" i="32" s="1"/>
  <c r="E88" i="32"/>
  <c r="H88" i="32" s="1"/>
  <c r="J88" i="32" s="1"/>
  <c r="E87" i="32"/>
  <c r="H87" i="32" s="1"/>
  <c r="J87" i="32" s="1"/>
  <c r="E86" i="32"/>
  <c r="H86" i="32"/>
  <c r="J86" i="32" s="1"/>
  <c r="E85" i="32"/>
  <c r="H85" i="32" s="1"/>
  <c r="J85" i="32" s="1"/>
  <c r="E84" i="32"/>
  <c r="H84" i="32" s="1"/>
  <c r="J84" i="32" s="1"/>
  <c r="B83" i="32"/>
  <c r="E83" i="32" s="1"/>
  <c r="H83" i="32" s="1"/>
  <c r="J83" i="32" s="1"/>
  <c r="E82" i="32"/>
  <c r="H82" i="32" s="1"/>
  <c r="J82" i="32" s="1"/>
  <c r="E81" i="32"/>
  <c r="H81" i="32" s="1"/>
  <c r="J81" i="32" s="1"/>
  <c r="C80" i="32"/>
  <c r="E80" i="32" s="1"/>
  <c r="H80" i="32" s="1"/>
  <c r="J80" i="32" s="1"/>
  <c r="E79" i="32"/>
  <c r="H79" i="32" s="1"/>
  <c r="J79" i="32" s="1"/>
  <c r="E78" i="32"/>
  <c r="H78" i="32" s="1"/>
  <c r="J78" i="32" s="1"/>
  <c r="E77" i="32"/>
  <c r="H77" i="32" s="1"/>
  <c r="J77" i="32" s="1"/>
  <c r="E76" i="32"/>
  <c r="H76" i="32" s="1"/>
  <c r="J76" i="32" s="1"/>
  <c r="F75" i="32"/>
  <c r="F154" i="32" s="1"/>
  <c r="E75" i="32"/>
  <c r="H75" i="32" s="1"/>
  <c r="J75" i="32" s="1"/>
  <c r="E74" i="32"/>
  <c r="H74" i="32" s="1"/>
  <c r="J74" i="32" s="1"/>
  <c r="C73" i="32"/>
  <c r="E73" i="32" s="1"/>
  <c r="H73" i="32" s="1"/>
  <c r="J73" i="32" s="1"/>
  <c r="B72" i="32"/>
  <c r="E72" i="32" s="1"/>
  <c r="H72" i="32" s="1"/>
  <c r="J72" i="32" s="1"/>
  <c r="E71" i="32"/>
  <c r="H71" i="32" s="1"/>
  <c r="J71" i="32"/>
  <c r="E70" i="32"/>
  <c r="H70" i="32" s="1"/>
  <c r="J70" i="32" s="1"/>
  <c r="E69" i="32"/>
  <c r="H69" i="32" s="1"/>
  <c r="J69" i="32" s="1"/>
  <c r="E68" i="32"/>
  <c r="H68" i="32"/>
  <c r="J68" i="32" s="1"/>
  <c r="E67" i="32"/>
  <c r="H67" i="32" s="1"/>
  <c r="J67" i="32"/>
  <c r="E66" i="32"/>
  <c r="H66" i="32" s="1"/>
  <c r="J66" i="32" s="1"/>
  <c r="G65" i="32"/>
  <c r="G155" i="32" s="1"/>
  <c r="E65" i="32"/>
  <c r="E64" i="32"/>
  <c r="H64" i="32" s="1"/>
  <c r="J64" i="32" s="1"/>
  <c r="E63" i="32"/>
  <c r="H63" i="32" s="1"/>
  <c r="J63" i="32" s="1"/>
  <c r="E62" i="32"/>
  <c r="H62" i="32" s="1"/>
  <c r="J62" i="32" s="1"/>
  <c r="E61" i="32"/>
  <c r="H61" i="32"/>
  <c r="J61" i="32" s="1"/>
  <c r="E60" i="32"/>
  <c r="H60" i="32" s="1"/>
  <c r="J60" i="32" s="1"/>
  <c r="E59" i="32"/>
  <c r="H59" i="32" s="1"/>
  <c r="J59" i="32" s="1"/>
  <c r="E58" i="32"/>
  <c r="H58" i="32"/>
  <c r="J58" i="32" s="1"/>
  <c r="E57" i="32"/>
  <c r="H57" i="32" s="1"/>
  <c r="J57" i="32" s="1"/>
  <c r="E56" i="32"/>
  <c r="H56" i="32" s="1"/>
  <c r="J56" i="32" s="1"/>
  <c r="E55" i="32"/>
  <c r="H55" i="32" s="1"/>
  <c r="J55" i="32" s="1"/>
  <c r="C54" i="32"/>
  <c r="E54" i="32" s="1"/>
  <c r="H54" i="32" s="1"/>
  <c r="J54" i="32" s="1"/>
  <c r="E53" i="32"/>
  <c r="H53" i="32"/>
  <c r="J53" i="32" s="1"/>
  <c r="E52" i="32"/>
  <c r="H52" i="32" s="1"/>
  <c r="J52" i="32" s="1"/>
  <c r="E51" i="32"/>
  <c r="H51" i="32" s="1"/>
  <c r="J51" i="32" s="1"/>
  <c r="I50" i="32"/>
  <c r="C50" i="32"/>
  <c r="E50" i="32" s="1"/>
  <c r="H50" i="32" s="1"/>
  <c r="E49" i="32"/>
  <c r="H49" i="32" s="1"/>
  <c r="J49" i="32" s="1"/>
  <c r="E48" i="32"/>
  <c r="H48" i="32" s="1"/>
  <c r="J48" i="32" s="1"/>
  <c r="E47" i="32"/>
  <c r="H47" i="32" s="1"/>
  <c r="J47" i="32" s="1"/>
  <c r="E46" i="32"/>
  <c r="H46" i="32"/>
  <c r="J46" i="32" s="1"/>
  <c r="I45" i="32"/>
  <c r="I156" i="32" s="1"/>
  <c r="G45" i="32"/>
  <c r="C45" i="32"/>
  <c r="C156" i="32" s="1"/>
  <c r="B45" i="32"/>
  <c r="B156" i="32" s="1"/>
  <c r="E44" i="32"/>
  <c r="H44" i="32" s="1"/>
  <c r="J44" i="32" s="1"/>
  <c r="E43" i="32"/>
  <c r="H43" i="32" s="1"/>
  <c r="J43" i="32" s="1"/>
  <c r="E42" i="32"/>
  <c r="H42" i="32"/>
  <c r="J42" i="32" s="1"/>
  <c r="E41" i="32"/>
  <c r="H41" i="32" s="1"/>
  <c r="J41" i="32"/>
  <c r="E40" i="32"/>
  <c r="H40" i="32" s="1"/>
  <c r="J40" i="32" s="1"/>
  <c r="E39" i="32"/>
  <c r="H39" i="32" s="1"/>
  <c r="J39" i="32" s="1"/>
  <c r="E38" i="32"/>
  <c r="H38" i="32"/>
  <c r="J38" i="32"/>
  <c r="E37" i="32"/>
  <c r="H37" i="32" s="1"/>
  <c r="J37" i="32" s="1"/>
  <c r="E36" i="32"/>
  <c r="H36" i="32" s="1"/>
  <c r="J36" i="32" s="1"/>
  <c r="E35" i="32"/>
  <c r="H35" i="32" s="1"/>
  <c r="J35" i="32" s="1"/>
  <c r="E34" i="32"/>
  <c r="H34" i="32" s="1"/>
  <c r="J34" i="32" s="1"/>
  <c r="E33" i="32"/>
  <c r="H33" i="32" s="1"/>
  <c r="J33" i="32" s="1"/>
  <c r="E32" i="32"/>
  <c r="H32" i="32" s="1"/>
  <c r="J32" i="32" s="1"/>
  <c r="E31" i="32"/>
  <c r="H31" i="32" s="1"/>
  <c r="J31" i="32" s="1"/>
  <c r="E30" i="32"/>
  <c r="H30" i="32" s="1"/>
  <c r="J30" i="32" s="1"/>
  <c r="E29" i="32"/>
  <c r="H29" i="32" s="1"/>
  <c r="J29" i="32"/>
  <c r="E28" i="32"/>
  <c r="H28" i="32" s="1"/>
  <c r="J28" i="32" s="1"/>
  <c r="E27" i="32"/>
  <c r="H27" i="32" s="1"/>
  <c r="J27" i="32" s="1"/>
  <c r="E26" i="32"/>
  <c r="H26" i="32"/>
  <c r="J26" i="32" s="1"/>
  <c r="E25" i="32"/>
  <c r="H25" i="32" s="1"/>
  <c r="J25" i="32"/>
  <c r="E24" i="32"/>
  <c r="H24" i="32" s="1"/>
  <c r="J24" i="32" s="1"/>
  <c r="E23" i="32"/>
  <c r="H23" i="32" s="1"/>
  <c r="J23" i="32" s="1"/>
  <c r="E22" i="32"/>
  <c r="H22" i="32"/>
  <c r="J22" i="32"/>
  <c r="E21" i="32"/>
  <c r="H21" i="32" s="1"/>
  <c r="J21" i="32" s="1"/>
  <c r="E20" i="32"/>
  <c r="H20" i="32" s="1"/>
  <c r="J20" i="32" s="1"/>
  <c r="E19" i="32"/>
  <c r="H19" i="32" s="1"/>
  <c r="J19" i="32" s="1"/>
  <c r="E18" i="32"/>
  <c r="H18" i="32" s="1"/>
  <c r="J18" i="32" s="1"/>
  <c r="E17" i="32"/>
  <c r="H17" i="32" s="1"/>
  <c r="J17" i="32" s="1"/>
  <c r="E16" i="32"/>
  <c r="H16" i="32" s="1"/>
  <c r="J16" i="32" s="1"/>
  <c r="E15" i="32"/>
  <c r="H15" i="32" s="1"/>
  <c r="J15" i="32" s="1"/>
  <c r="C14" i="32"/>
  <c r="E14" i="32" s="1"/>
  <c r="H14" i="32" s="1"/>
  <c r="J14" i="32" s="1"/>
  <c r="E13" i="32"/>
  <c r="H13" i="32"/>
  <c r="J13" i="32" s="1"/>
  <c r="E12" i="32"/>
  <c r="H12" i="32" s="1"/>
  <c r="J12" i="32" s="1"/>
  <c r="E11" i="32"/>
  <c r="H11" i="32" s="1"/>
  <c r="J11" i="32" s="1"/>
  <c r="E10" i="32"/>
  <c r="H10" i="32"/>
  <c r="J10" i="32" s="1"/>
  <c r="E9" i="32"/>
  <c r="E8" i="32"/>
  <c r="H8" i="32" s="1"/>
  <c r="J8" i="32" s="1"/>
  <c r="E7" i="32"/>
  <c r="H7" i="32"/>
  <c r="J7" i="32" s="1"/>
  <c r="C6" i="32"/>
  <c r="E5" i="32"/>
  <c r="H5" i="32"/>
  <c r="J5" i="32" s="1"/>
  <c r="E4" i="32"/>
  <c r="F3" i="32"/>
  <c r="F153" i="32"/>
  <c r="F158" i="32" s="1"/>
  <c r="C3" i="32"/>
  <c r="G156" i="32"/>
  <c r="E141" i="32"/>
  <c r="H141" i="32" s="1"/>
  <c r="J141" i="32"/>
  <c r="F8" i="18"/>
  <c r="D8" i="18"/>
  <c r="W20" i="1"/>
  <c r="V20" i="1"/>
  <c r="W19" i="1"/>
  <c r="V19" i="1"/>
  <c r="W18" i="1"/>
  <c r="V18" i="1"/>
  <c r="C45" i="1"/>
  <c r="S19" i="1"/>
  <c r="S20" i="1"/>
  <c r="S18" i="1"/>
  <c r="P19" i="1"/>
  <c r="P20" i="1"/>
  <c r="P18" i="1"/>
  <c r="C9" i="1"/>
  <c r="C10" i="1"/>
  <c r="J10" i="1" s="1"/>
  <c r="C8" i="1"/>
  <c r="C19" i="1"/>
  <c r="G19" i="1" s="1"/>
  <c r="C20" i="1"/>
  <c r="G20" i="1" s="1"/>
  <c r="C18" i="1"/>
  <c r="G18" i="1" s="1"/>
  <c r="I22" i="1"/>
  <c r="F22" i="1"/>
  <c r="R22" i="1"/>
  <c r="W22" i="1" s="1"/>
  <c r="O22" i="1"/>
  <c r="L22" i="1"/>
  <c r="M18" i="1" s="1"/>
  <c r="G34" i="16"/>
  <c r="G35" i="16"/>
  <c r="G36" i="16"/>
  <c r="G39" i="16"/>
  <c r="G40" i="16"/>
  <c r="G41" i="16"/>
  <c r="G42" i="16"/>
  <c r="O28" i="16"/>
  <c r="H14" i="21"/>
  <c r="H10" i="21"/>
  <c r="H7" i="21"/>
  <c r="H6" i="21"/>
  <c r="H18" i="21"/>
  <c r="M64" i="10"/>
  <c r="N64" i="10" s="1"/>
  <c r="G63" i="10" s="1"/>
  <c r="M60" i="10"/>
  <c r="N60" i="10" s="1"/>
  <c r="F63" i="10" s="1"/>
  <c r="J63" i="10"/>
  <c r="I63" i="10"/>
  <c r="C63" i="10"/>
  <c r="D63" i="10"/>
  <c r="M51" i="10"/>
  <c r="N51" i="10"/>
  <c r="G48" i="10" s="1"/>
  <c r="M47" i="10"/>
  <c r="N47" i="10" s="1"/>
  <c r="F48" i="10" s="1"/>
  <c r="J48" i="10"/>
  <c r="I48" i="10"/>
  <c r="D48" i="10"/>
  <c r="E48" i="10" s="1"/>
  <c r="C48" i="10"/>
  <c r="M43" i="10"/>
  <c r="N43" i="10"/>
  <c r="G40" i="10" s="1"/>
  <c r="H40" i="10" s="1"/>
  <c r="M39" i="10"/>
  <c r="N39" i="10"/>
  <c r="F40" i="10" s="1"/>
  <c r="J40" i="10"/>
  <c r="I40" i="10"/>
  <c r="D40" i="10"/>
  <c r="C40" i="10"/>
  <c r="Q87" i="10"/>
  <c r="R86" i="10"/>
  <c r="R85" i="10"/>
  <c r="R83" i="10"/>
  <c r="R82" i="10"/>
  <c r="R84" i="10" s="1"/>
  <c r="R78" i="10"/>
  <c r="R80" i="10"/>
  <c r="R79" i="10"/>
  <c r="R81" i="10" s="1"/>
  <c r="R76" i="10"/>
  <c r="R75" i="10"/>
  <c r="N86" i="10"/>
  <c r="N87" i="10"/>
  <c r="N85" i="10"/>
  <c r="N83" i="10"/>
  <c r="N82" i="10"/>
  <c r="N80" i="10"/>
  <c r="N81" i="10" s="1"/>
  <c r="N79" i="10"/>
  <c r="N78" i="10"/>
  <c r="N76" i="10"/>
  <c r="N77" i="10"/>
  <c r="N75" i="10"/>
  <c r="Q84" i="10"/>
  <c r="Q81" i="10"/>
  <c r="Q77" i="10"/>
  <c r="D105" i="10"/>
  <c r="E105" i="10" s="1"/>
  <c r="G85" i="10" s="1"/>
  <c r="B105" i="10"/>
  <c r="C105" i="10" s="1"/>
  <c r="F85" i="10"/>
  <c r="D101" i="10"/>
  <c r="E101" i="10" s="1"/>
  <c r="G82" i="10" s="1"/>
  <c r="B101" i="10"/>
  <c r="C101" i="10" s="1"/>
  <c r="F82" i="10"/>
  <c r="D97" i="10"/>
  <c r="E97" i="10" s="1"/>
  <c r="G78" i="10" s="1"/>
  <c r="D78" i="10"/>
  <c r="B97" i="10"/>
  <c r="C97" i="10" s="1"/>
  <c r="F78" i="10" s="1"/>
  <c r="D110" i="10"/>
  <c r="E110" i="10" s="1"/>
  <c r="G88" i="10" s="1"/>
  <c r="H88" i="10" s="1"/>
  <c r="B110" i="10"/>
  <c r="C110" i="10" s="1"/>
  <c r="F88" i="10" s="1"/>
  <c r="J88" i="10"/>
  <c r="I88" i="10"/>
  <c r="J85" i="10"/>
  <c r="K85" i="10" s="1"/>
  <c r="I85" i="10"/>
  <c r="D88" i="10"/>
  <c r="C88" i="10"/>
  <c r="E79" i="10"/>
  <c r="D85" i="10"/>
  <c r="C85" i="10"/>
  <c r="E85" i="10" s="1"/>
  <c r="J82" i="10"/>
  <c r="K82" i="10" s="1"/>
  <c r="I82" i="10"/>
  <c r="D82" i="10"/>
  <c r="E82" i="10"/>
  <c r="C82" i="10"/>
  <c r="J78" i="10"/>
  <c r="I78" i="10"/>
  <c r="C78" i="10"/>
  <c r="K73" i="10"/>
  <c r="J73" i="10"/>
  <c r="I73" i="10"/>
  <c r="H73" i="10"/>
  <c r="G73" i="10"/>
  <c r="F73" i="10"/>
  <c r="E73" i="10"/>
  <c r="D73" i="10"/>
  <c r="C73" i="10"/>
  <c r="K35" i="10"/>
  <c r="J35" i="10"/>
  <c r="I35" i="10"/>
  <c r="H35" i="10"/>
  <c r="G35" i="10"/>
  <c r="F35" i="10"/>
  <c r="E35" i="10"/>
  <c r="D35" i="10"/>
  <c r="C35" i="10"/>
  <c r="K20" i="10"/>
  <c r="J20" i="10"/>
  <c r="I20" i="10"/>
  <c r="H20" i="10"/>
  <c r="G20" i="10"/>
  <c r="F20" i="10"/>
  <c r="E20" i="10"/>
  <c r="D20" i="10"/>
  <c r="C20" i="10"/>
  <c r="E14" i="10"/>
  <c r="D14" i="10"/>
  <c r="C14" i="10"/>
  <c r="K6" i="10"/>
  <c r="J6" i="10"/>
  <c r="I6" i="10"/>
  <c r="H6" i="10"/>
  <c r="G6" i="10"/>
  <c r="F6" i="10"/>
  <c r="E6" i="10"/>
  <c r="D6" i="10"/>
  <c r="C6" i="10"/>
  <c r="E40" i="10"/>
  <c r="N84" i="10"/>
  <c r="S9" i="1"/>
  <c r="S10" i="1"/>
  <c r="S8" i="1"/>
  <c r="P9" i="1"/>
  <c r="P10" i="1"/>
  <c r="P8" i="1"/>
  <c r="O12" i="1"/>
  <c r="R12" i="1"/>
  <c r="L12" i="1"/>
  <c r="M9" i="1" s="1"/>
  <c r="F12" i="1"/>
  <c r="I12" i="1"/>
  <c r="F34" i="1"/>
  <c r="C34" i="1"/>
  <c r="G153" i="32"/>
  <c r="E6" i="32"/>
  <c r="H6" i="32"/>
  <c r="J6" i="32" s="1"/>
  <c r="C155" i="32"/>
  <c r="H9" i="32"/>
  <c r="J9" i="32" s="1"/>
  <c r="J154" i="32" s="1"/>
  <c r="C153" i="32"/>
  <c r="C158" i="32" s="1"/>
  <c r="G150" i="32"/>
  <c r="H4" i="32"/>
  <c r="F150" i="32"/>
  <c r="B155" i="32"/>
  <c r="I21" i="16"/>
  <c r="J21" i="16" s="1"/>
  <c r="E21" i="16"/>
  <c r="J4" i="32"/>
  <c r="G158" i="32"/>
  <c r="H154" i="32" l="1"/>
  <c r="K78" i="10"/>
  <c r="R87" i="10"/>
  <c r="E63" i="10"/>
  <c r="I150" i="32"/>
  <c r="H78" i="10"/>
  <c r="H48" i="10"/>
  <c r="H63" i="10"/>
  <c r="J8" i="18"/>
  <c r="I153" i="32"/>
  <c r="I158" i="32" s="1"/>
  <c r="U13" i="33"/>
  <c r="H14" i="18"/>
  <c r="J14" i="18"/>
  <c r="T13" i="33"/>
  <c r="J50" i="32"/>
  <c r="E155" i="32"/>
  <c r="E154" i="32"/>
  <c r="E88" i="10"/>
  <c r="K48" i="10"/>
  <c r="K63" i="10"/>
  <c r="C12" i="1"/>
  <c r="C42" i="1" s="1"/>
  <c r="J7" i="18"/>
  <c r="R25" i="16"/>
  <c r="M10" i="1"/>
  <c r="M22" i="1"/>
  <c r="J20" i="1"/>
  <c r="S12" i="1"/>
  <c r="P12" i="1"/>
  <c r="P22" i="1"/>
  <c r="G10" i="1"/>
  <c r="D10" i="1"/>
  <c r="J9" i="1"/>
  <c r="M20" i="1"/>
  <c r="C22" i="1"/>
  <c r="U22" i="1" s="1"/>
  <c r="G8" i="1"/>
  <c r="U20" i="1"/>
  <c r="G9" i="1"/>
  <c r="S22" i="1"/>
  <c r="M12" i="1"/>
  <c r="M8" i="1"/>
  <c r="J8" i="1"/>
  <c r="D6" i="18"/>
  <c r="R9" i="16"/>
  <c r="R24" i="16"/>
  <c r="Q21" i="16"/>
  <c r="G38" i="16"/>
  <c r="G44" i="16" s="1"/>
  <c r="R23" i="16"/>
  <c r="F25" i="35"/>
  <c r="J15" i="35"/>
  <c r="D12" i="35"/>
  <c r="F6" i="18"/>
  <c r="R13" i="33" s="1"/>
  <c r="J6" i="35"/>
  <c r="D18" i="35"/>
  <c r="D25" i="35" s="1"/>
  <c r="D30" i="35" s="1"/>
  <c r="D34" i="35" s="1"/>
  <c r="H6" i="35"/>
  <c r="H7" i="18"/>
  <c r="F26" i="19"/>
  <c r="F28" i="19" s="1"/>
  <c r="U18" i="1"/>
  <c r="J18" i="1"/>
  <c r="K88" i="10"/>
  <c r="E78" i="10"/>
  <c r="K40" i="10"/>
  <c r="H82" i="10"/>
  <c r="H85" i="10"/>
  <c r="R77" i="10"/>
  <c r="V22" i="1"/>
  <c r="H65" i="32"/>
  <c r="E45" i="32"/>
  <c r="E3" i="32"/>
  <c r="C150" i="32"/>
  <c r="B150" i="32"/>
  <c r="H8" i="18"/>
  <c r="B153" i="32"/>
  <c r="B158" i="32" s="1"/>
  <c r="J19" i="1"/>
  <c r="U19" i="1"/>
  <c r="M19" i="1"/>
  <c r="D12" i="1" l="1"/>
  <c r="J12" i="1"/>
  <c r="G12" i="1"/>
  <c r="D8" i="1"/>
  <c r="D9" i="1"/>
  <c r="I33" i="1"/>
  <c r="J6" i="18"/>
  <c r="H6" i="18"/>
  <c r="D16" i="18"/>
  <c r="N13" i="33"/>
  <c r="J22" i="1"/>
  <c r="D19" i="1"/>
  <c r="D20" i="1"/>
  <c r="D18" i="1"/>
  <c r="I34" i="1"/>
  <c r="D22" i="1"/>
  <c r="G22" i="1"/>
  <c r="F30" i="35"/>
  <c r="F34" i="35" s="1"/>
  <c r="F16" i="18"/>
  <c r="J18" i="35"/>
  <c r="D26" i="19"/>
  <c r="D28" i="19" s="1"/>
  <c r="H18" i="35"/>
  <c r="E156" i="32"/>
  <c r="H45" i="32"/>
  <c r="J65" i="32"/>
  <c r="J155" i="32" s="1"/>
  <c r="H155" i="32"/>
  <c r="H3" i="32"/>
  <c r="E150" i="32"/>
  <c r="H12" i="35" l="1"/>
  <c r="J12" i="35"/>
  <c r="H150" i="32"/>
  <c r="J3" i="32"/>
  <c r="J45" i="32"/>
  <c r="J156" i="32" s="1"/>
  <c r="H156" i="32"/>
  <c r="H153" i="32" s="1"/>
  <c r="H158" i="32" s="1"/>
  <c r="E153" i="32"/>
  <c r="J150" i="32" l="1"/>
  <c r="H25" i="35"/>
  <c r="J25" i="35"/>
  <c r="E158" i="32"/>
  <c r="J153" i="32"/>
  <c r="H30" i="35" l="1"/>
  <c r="J30" i="35"/>
  <c r="J158" i="32"/>
  <c r="K153" i="32"/>
  <c r="J34" i="35" l="1"/>
  <c r="H34" i="35"/>
  <c r="K158" i="32"/>
  <c r="K154" i="32"/>
  <c r="K155" i="32"/>
  <c r="K156" i="32"/>
  <c r="P11" i="16" l="1"/>
  <c r="D18" i="16"/>
  <c r="F11" i="16"/>
  <c r="D21" i="16" l="1"/>
  <c r="F21" i="16" s="1"/>
  <c r="F18" i="16"/>
  <c r="P18" i="16"/>
  <c r="R18" i="16" s="1"/>
  <c r="R11" i="16"/>
  <c r="P27" i="16"/>
  <c r="P21" i="16"/>
  <c r="R21" i="16" s="1"/>
</calcChain>
</file>

<file path=xl/sharedStrings.xml><?xml version="1.0" encoding="utf-8"?>
<sst xmlns="http://schemas.openxmlformats.org/spreadsheetml/2006/main" count="962" uniqueCount="688">
  <si>
    <t>Total</t>
  </si>
  <si>
    <t>Hombres</t>
  </si>
  <si>
    <t>Mujeres</t>
  </si>
  <si>
    <t>Técnicos</t>
  </si>
  <si>
    <t>Administrativos</t>
  </si>
  <si>
    <t>Operarios y subalternos</t>
  </si>
  <si>
    <t>Plantilla al final de cada ejercicio</t>
  </si>
  <si>
    <t>Discapacidad</t>
  </si>
  <si>
    <t>Nº medio de personas</t>
  </si>
  <si>
    <t>FARMACIA</t>
  </si>
  <si>
    <t>Farmacia</t>
  </si>
  <si>
    <t>Química intermedia</t>
  </si>
  <si>
    <t>TOTALES</t>
  </si>
  <si>
    <t>Ejercicio 2016</t>
  </si>
  <si>
    <t>Evolución de la plantilla media</t>
  </si>
  <si>
    <t>Derivados del cloro</t>
  </si>
  <si>
    <t>ATCC</t>
  </si>
  <si>
    <t>EDC</t>
  </si>
  <si>
    <t>Química Intermedia</t>
  </si>
  <si>
    <t>Formol</t>
  </si>
  <si>
    <t>Paraformol</t>
  </si>
  <si>
    <t>Penta</t>
  </si>
  <si>
    <t>Dipenta</t>
  </si>
  <si>
    <t>Formiato</t>
  </si>
  <si>
    <t>Carbaicar</t>
  </si>
  <si>
    <t>Otros</t>
  </si>
  <si>
    <t>Ventas</t>
  </si>
  <si>
    <t>Compras</t>
  </si>
  <si>
    <t>% ventas</t>
  </si>
  <si>
    <t>% compras</t>
  </si>
  <si>
    <t>Ejercicio</t>
  </si>
  <si>
    <t>PVC</t>
  </si>
  <si>
    <t>Sosa cáustica</t>
  </si>
  <si>
    <t>Potasas</t>
  </si>
  <si>
    <t>Polvos de moldeo</t>
  </si>
  <si>
    <t>Ácido fusídico</t>
  </si>
  <si>
    <t>Fosfomicinas</t>
  </si>
  <si>
    <t>Eritromicinas</t>
  </si>
  <si>
    <t xml:space="preserve"> </t>
  </si>
  <si>
    <t>ACTUALIZAR</t>
  </si>
  <si>
    <t>2016 / 2015</t>
  </si>
  <si>
    <t>ENERGIA ELÉCTRICA / GAS</t>
  </si>
  <si>
    <t>NEGOCIO</t>
  </si>
  <si>
    <t>Mwh</t>
  </si>
  <si>
    <t xml:space="preserve"> € / Mwh</t>
  </si>
  <si>
    <t>Total Consumo - €</t>
  </si>
  <si>
    <t>Electricidad interrumpible QB (MWh)</t>
  </si>
  <si>
    <t>Electricidad Plásticos (MWh)</t>
  </si>
  <si>
    <t>Gas Mwh</t>
  </si>
  <si>
    <t>Tipo de Cambio Medio Euro Dólar</t>
  </si>
  <si>
    <t>COMPRAS PRINCIPALES MATERIAS PRIMAS</t>
  </si>
  <si>
    <t>PRODUCTO</t>
  </si>
  <si>
    <t>Compras en TN</t>
  </si>
  <si>
    <t>€ /TN</t>
  </si>
  <si>
    <t>Total Compras - €</t>
  </si>
  <si>
    <t>Etileno</t>
  </si>
  <si>
    <t>Metanol</t>
  </si>
  <si>
    <t>Urea</t>
  </si>
  <si>
    <t>Cloruro Potásico</t>
  </si>
  <si>
    <t>Melamina</t>
  </si>
  <si>
    <t>Fenol</t>
  </si>
  <si>
    <t>Ácido cianúrico</t>
  </si>
  <si>
    <t>VENTAS PRODUCTOS IMPORTANTES</t>
  </si>
  <si>
    <t>Ventas en TN</t>
  </si>
  <si>
    <t>Total Ventas - €</t>
  </si>
  <si>
    <t>NEGOCIOS ASOCIADOS AL CLORO</t>
  </si>
  <si>
    <t>Sosa cáustica líquida 100 %</t>
  </si>
  <si>
    <t>Sosa perlas</t>
  </si>
  <si>
    <t>Cloro gas</t>
  </si>
  <si>
    <t>Clorato Sódico</t>
  </si>
  <si>
    <t>Clorito Sódico</t>
  </si>
  <si>
    <t>Hipoclorito sódico 15-16%</t>
  </si>
  <si>
    <t>Ácido Clorhídrico 35 %</t>
  </si>
  <si>
    <t>Potasa Líquida</t>
  </si>
  <si>
    <t>Potasa Escamas</t>
  </si>
  <si>
    <t>Carbonato potásico</t>
  </si>
  <si>
    <t>PVC Suspensión</t>
  </si>
  <si>
    <t>PVC Compuestos</t>
  </si>
  <si>
    <t>Q. INTERMEDIA</t>
  </si>
  <si>
    <t>Cola y Resina UF</t>
  </si>
  <si>
    <t>Resina Fenólica</t>
  </si>
  <si>
    <t>Resina Melamina</t>
  </si>
  <si>
    <t>Minaicar</t>
  </si>
  <si>
    <t>Fosfomicinas Nacional</t>
  </si>
  <si>
    <t>Fosfomicinas Export</t>
  </si>
  <si>
    <t>Claritromicina</t>
  </si>
  <si>
    <t>Fusídico Nacional</t>
  </si>
  <si>
    <t xml:space="preserve">Fusídico Export. </t>
  </si>
  <si>
    <t>Eritromicinas Nacional</t>
  </si>
  <si>
    <t xml:space="preserve">Eritromicinas Export. </t>
  </si>
  <si>
    <t>Azitromicina Nacional</t>
  </si>
  <si>
    <t xml:space="preserve">Azitromicina Export. </t>
  </si>
  <si>
    <t>Fosfomicinas total</t>
  </si>
  <si>
    <t>Fusídico total</t>
  </si>
  <si>
    <t>Eritromicinas total</t>
  </si>
  <si>
    <t>Azitromicina total</t>
  </si>
  <si>
    <t>Azitromicina</t>
  </si>
  <si>
    <t>Electricidad</t>
  </si>
  <si>
    <t>Resto</t>
  </si>
  <si>
    <t>Aprovisionamientos</t>
  </si>
  <si>
    <t>Suministros</t>
  </si>
  <si>
    <t>Electricidad total</t>
  </si>
  <si>
    <t> %</t>
  </si>
  <si>
    <t xml:space="preserve">Farmacia </t>
  </si>
  <si>
    <t>Ercros Francia + Ercekol</t>
  </si>
  <si>
    <t>Total Consolidado</t>
  </si>
  <si>
    <t>Alemania</t>
  </si>
  <si>
    <t>Arabia Saudi</t>
  </si>
  <si>
    <t>Argelia</t>
  </si>
  <si>
    <t>Argentina</t>
  </si>
  <si>
    <t>Australia</t>
  </si>
  <si>
    <t>Austria</t>
  </si>
  <si>
    <t>Bangladesh</t>
  </si>
  <si>
    <t>Bahrein</t>
  </si>
  <si>
    <t>Barbados</t>
  </si>
  <si>
    <t>Bélgica</t>
  </si>
  <si>
    <t>Bielorrusia</t>
  </si>
  <si>
    <t>Brasil</t>
  </si>
  <si>
    <t>Brunei Darussai</t>
  </si>
  <si>
    <t>Bulgaria</t>
  </si>
  <si>
    <t>Burkina Faso</t>
  </si>
  <si>
    <t>Cabo verde</t>
  </si>
  <si>
    <t>Camerún</t>
  </si>
  <si>
    <t>Canadá</t>
  </si>
  <si>
    <t>Chile</t>
  </si>
  <si>
    <t>China</t>
  </si>
  <si>
    <t>Chipre</t>
  </si>
  <si>
    <t>Colombia</t>
  </si>
  <si>
    <t>Corea</t>
  </si>
  <si>
    <t>Costa de Marfil</t>
  </si>
  <si>
    <t>Costa Rica</t>
  </si>
  <si>
    <t>Croacia</t>
  </si>
  <si>
    <t>Dinamarca</t>
  </si>
  <si>
    <t>E A U</t>
  </si>
  <si>
    <t>Ecuador</t>
  </si>
  <si>
    <t>EEUU</t>
  </si>
  <si>
    <t>Egipto</t>
  </si>
  <si>
    <t>El Salvador</t>
  </si>
  <si>
    <t>Eslovaquia</t>
  </si>
  <si>
    <t>España</t>
  </si>
  <si>
    <t>Etiopia</t>
  </si>
  <si>
    <t>Federación Rusa</t>
  </si>
  <si>
    <t>Filipinas</t>
  </si>
  <si>
    <t>Finlandia</t>
  </si>
  <si>
    <t>Francia</t>
  </si>
  <si>
    <t>Ghana</t>
  </si>
  <si>
    <t>Grecia</t>
  </si>
  <si>
    <t>Guatemala</t>
  </si>
  <si>
    <t>Guinea Ecuatoriana</t>
  </si>
  <si>
    <t>Haiti</t>
  </si>
  <si>
    <t>Hong Kong</t>
  </si>
  <si>
    <t>Holanda</t>
  </si>
  <si>
    <t>Hungría</t>
  </si>
  <si>
    <t>Indonesia</t>
  </si>
  <si>
    <t>India</t>
  </si>
  <si>
    <t>Iran</t>
  </si>
  <si>
    <t>Irlanda</t>
  </si>
  <si>
    <t>Israel</t>
  </si>
  <si>
    <t>Italia</t>
  </si>
  <si>
    <t>Jamaica</t>
  </si>
  <si>
    <t>Japón</t>
  </si>
  <si>
    <t>Jordania</t>
  </si>
  <si>
    <t>Kenia</t>
  </si>
  <si>
    <t>Kuwait</t>
  </si>
  <si>
    <t>Luxemburgo</t>
  </si>
  <si>
    <t>Letonia</t>
  </si>
  <si>
    <t>Lituania</t>
  </si>
  <si>
    <t>Líbano</t>
  </si>
  <si>
    <t>Madagascar</t>
  </si>
  <si>
    <t>Malasia</t>
  </si>
  <si>
    <t>Mali</t>
  </si>
  <si>
    <t>Malta</t>
  </si>
  <si>
    <t>Marruecos</t>
  </si>
  <si>
    <t>Méjico</t>
  </si>
  <si>
    <t>Nigeria</t>
  </si>
  <si>
    <t>Noruega</t>
  </si>
  <si>
    <t>Nueva Zelanda</t>
  </si>
  <si>
    <t>Omán</t>
  </si>
  <si>
    <t>Palestina</t>
  </si>
  <si>
    <t>Pakistán</t>
  </si>
  <si>
    <t>Paraguay</t>
  </si>
  <si>
    <t>Perú</t>
  </si>
  <si>
    <t>Polonia</t>
  </si>
  <si>
    <t>Portugal</t>
  </si>
  <si>
    <t>Reino Unido</t>
  </si>
  <si>
    <t>Rep.Checa</t>
  </si>
  <si>
    <t>Rep.Dominicana</t>
  </si>
  <si>
    <t>R.D.Congo</t>
  </si>
  <si>
    <t>Reunión</t>
  </si>
  <si>
    <t>Rumania</t>
  </si>
  <si>
    <t>San Marino</t>
  </si>
  <si>
    <t>Senegal</t>
  </si>
  <si>
    <t>Serbia</t>
  </si>
  <si>
    <t>Singapur</t>
  </si>
  <si>
    <t>Siria</t>
  </si>
  <si>
    <t>Sri Lanka</t>
  </si>
  <si>
    <t>Sudáfrica</t>
  </si>
  <si>
    <t>Suecia</t>
  </si>
  <si>
    <t>Suiza</t>
  </si>
  <si>
    <t>Surinam</t>
  </si>
  <si>
    <t>Taiwan-Formosa</t>
  </si>
  <si>
    <t>Thailandia</t>
  </si>
  <si>
    <t>Túnez</t>
  </si>
  <si>
    <t>Turquía</t>
  </si>
  <si>
    <t>Ucrania</t>
  </si>
  <si>
    <t>Uruguay</t>
  </si>
  <si>
    <t>Venezuela</t>
  </si>
  <si>
    <t>Vietnam</t>
  </si>
  <si>
    <t>Yemen</t>
  </si>
  <si>
    <t>U.E.</t>
  </si>
  <si>
    <t>O.C.D.E.</t>
  </si>
  <si>
    <t>Exterior</t>
  </si>
  <si>
    <t>Resto del mundo</t>
  </si>
  <si>
    <t>Gas y vapor</t>
  </si>
  <si>
    <t xml:space="preserve">Agua </t>
  </si>
  <si>
    <t>Margen A&amp;S</t>
  </si>
  <si>
    <t>Aprovisionamientos y suministros</t>
  </si>
  <si>
    <t>División de química intermedia</t>
  </si>
  <si>
    <t>División de farmacia</t>
  </si>
  <si>
    <t>Millones de euros</t>
  </si>
  <si>
    <t>Amortizaciones</t>
  </si>
  <si>
    <t>Ebit</t>
  </si>
  <si>
    <t>Resultado financiero</t>
  </si>
  <si>
    <t>Resultado antes de impuestos</t>
  </si>
  <si>
    <t>Resultado del ejercicio</t>
  </si>
  <si>
    <t>Activos</t>
  </si>
  <si>
    <t>Pasivos</t>
  </si>
  <si>
    <t>Inversiones en inmovilizado</t>
  </si>
  <si>
    <t>Cifra de negocios</t>
  </si>
  <si>
    <t>División de derivados del cloro</t>
  </si>
  <si>
    <t xml:space="preserve"> -</t>
  </si>
  <si>
    <t>Reversión del valor de los activos</t>
  </si>
  <si>
    <t>Activos no corrientes</t>
  </si>
  <si>
    <t>Capital circulante</t>
  </si>
  <si>
    <t>Pasivos corrientes</t>
  </si>
  <si>
    <t>Recursos empleados</t>
  </si>
  <si>
    <t>Provisiones y otras deudas</t>
  </si>
  <si>
    <t>Origen de fondos</t>
  </si>
  <si>
    <t>Activos corrientes</t>
  </si>
  <si>
    <t>Impuestos a las ganancias</t>
  </si>
  <si>
    <t>Diferencias de cambio</t>
  </si>
  <si>
    <t>-</t>
  </si>
  <si>
    <t>Gastos de personal</t>
  </si>
  <si>
    <t>Otros gastos de explotación</t>
  </si>
  <si>
    <t>Gastos</t>
  </si>
  <si>
    <t>Ingresos</t>
  </si>
  <si>
    <t>Gastos variables</t>
  </si>
  <si>
    <t>Otros gastos variables</t>
  </si>
  <si>
    <t>Gastos fijos</t>
  </si>
  <si>
    <t>Personal</t>
  </si>
  <si>
    <t>Otros gastos fijos</t>
  </si>
  <si>
    <t>Gastos no recurrentes</t>
  </si>
  <si>
    <t>Indemnizaciones</t>
  </si>
  <si>
    <t>Otros gastos no recurrentes</t>
  </si>
  <si>
    <t>Actividad con certificación de prevención (%)</t>
  </si>
  <si>
    <t>Actividad con certificación ambiental (%)</t>
  </si>
  <si>
    <t>Actividad con certificación de calidad (%)</t>
  </si>
  <si>
    <t>Índice de emisiones</t>
  </si>
  <si>
    <t>Absentismo</t>
  </si>
  <si>
    <t>IF</t>
  </si>
  <si>
    <t>Sociales</t>
  </si>
  <si>
    <t>PER</t>
  </si>
  <si>
    <t>CFA (euros)</t>
  </si>
  <si>
    <t>BPA (euros)</t>
  </si>
  <si>
    <t>Cotización (euros/acción)</t>
  </si>
  <si>
    <t>Bursátiles</t>
  </si>
  <si>
    <t>Margen bruto/ingresos (%)</t>
  </si>
  <si>
    <t>Productividad (euros/persona)</t>
  </si>
  <si>
    <t>Operativos</t>
  </si>
  <si>
    <t>Período medio de pago (días)</t>
  </si>
  <si>
    <t>Período medio de cobro (días)</t>
  </si>
  <si>
    <t>ROCE (%)</t>
  </si>
  <si>
    <t>Liquidez</t>
  </si>
  <si>
    <t>Financieros</t>
  </si>
  <si>
    <t>Ratio de productividad</t>
  </si>
  <si>
    <t>Ejercicio 2017</t>
  </si>
  <si>
    <t>2017/2016</t>
  </si>
  <si>
    <t xml:space="preserve">Química Bàsica </t>
  </si>
  <si>
    <t xml:space="preserve">Plástics </t>
  </si>
  <si>
    <t>Negocis associats al Clor</t>
  </si>
  <si>
    <t xml:space="preserve">Total Ercros </t>
  </si>
  <si>
    <t>Angola</t>
  </si>
  <si>
    <t>Armenia</t>
  </si>
  <si>
    <t>Benin</t>
  </si>
  <si>
    <t>Bolivia</t>
  </si>
  <si>
    <t>Chad</t>
  </si>
  <si>
    <t>Congo</t>
  </si>
  <si>
    <t>Cuba</t>
  </si>
  <si>
    <t>Emiratos Arabes</t>
  </si>
  <si>
    <t>Eslovenia</t>
  </si>
  <si>
    <t>Gabon</t>
  </si>
  <si>
    <t>Gambia</t>
  </si>
  <si>
    <t>Guayana</t>
  </si>
  <si>
    <t>Guinea Francesa</t>
  </si>
  <si>
    <t>Honduras</t>
  </si>
  <si>
    <t>Iraq</t>
  </si>
  <si>
    <t>Islas Mauricio</t>
  </si>
  <si>
    <t>Islandia</t>
  </si>
  <si>
    <t>Islas Seychelles</t>
  </si>
  <si>
    <t>Korea</t>
  </si>
  <si>
    <t>Liecheinstein</t>
  </si>
  <si>
    <t>Liberia</t>
  </si>
  <si>
    <t>Libia</t>
  </si>
  <si>
    <t>Macedonia</t>
  </si>
  <si>
    <t>Malaui</t>
  </si>
  <si>
    <t>Maldivas</t>
  </si>
  <si>
    <t>Martinica</t>
  </si>
  <si>
    <t>Mauricio</t>
  </si>
  <si>
    <t>Nepal</t>
  </si>
  <si>
    <t xml:space="preserve">Niger </t>
  </si>
  <si>
    <t>Panamá</t>
  </si>
  <si>
    <t xml:space="preserve">Qatar </t>
  </si>
  <si>
    <t>Rep.Centroafricana</t>
  </si>
  <si>
    <t>Rep.Eslovena</t>
  </si>
  <si>
    <t>Rep.San Marino</t>
  </si>
  <si>
    <t>Ruanda</t>
  </si>
  <si>
    <t>Rusia</t>
  </si>
  <si>
    <t>San Cristobal y Nevis</t>
  </si>
  <si>
    <t>Santa Lucía</t>
  </si>
  <si>
    <t>Sudan</t>
  </si>
  <si>
    <t>Togo</t>
  </si>
  <si>
    <t>Trinidad tobago</t>
  </si>
  <si>
    <t>Uganda</t>
  </si>
  <si>
    <t>Yugoslavia</t>
  </si>
  <si>
    <t>Países Bajos</t>
  </si>
  <si>
    <t>Miles de euros</t>
  </si>
  <si>
    <t>Variación (%)</t>
  </si>
  <si>
    <t>Otros ingresos de explotación</t>
  </si>
  <si>
    <t xml:space="preserve">Variación de existencias </t>
  </si>
  <si>
    <t>Resultado por la reversión del deterioro de activos</t>
  </si>
  <si>
    <t>Para el pago de dividendos:</t>
  </si>
  <si>
    <t>Apalancamiento (&lt;0,5)</t>
  </si>
  <si>
    <t>Solvencia (&lt;2)</t>
  </si>
  <si>
    <t>Cobertura de financiación del inmovilizado</t>
  </si>
  <si>
    <t>Producción (miles de toneladas)</t>
  </si>
  <si>
    <t>Capitalización (miles de euros)</t>
  </si>
  <si>
    <t>Ebitda ordinario</t>
  </si>
  <si>
    <t>Margen de ebitda ordinario/ventas (%)</t>
  </si>
  <si>
    <t>Valor añadido (miles de euros) usando ebitda ordinario</t>
  </si>
  <si>
    <t>QUIMICA BASICA</t>
  </si>
  <si>
    <t>PLANTILLA AÑO 2.017 - REAL FIN DE MES - J.C.E.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</si>
  <si>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</si>
  <si>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</si>
  <si>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</si>
  <si>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</si>
  <si>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</si>
  <si>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</si>
  <si>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</si>
  <si>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</si>
  <si>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</si>
  <si>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</si>
  <si>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</si>
  <si>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</si>
  <si>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PLANTILLA</t>
  </si>
  <si>
    <t>Flix (Fijos)</t>
  </si>
  <si>
    <t>Flix (TP/JP/SUS.T.E)</t>
  </si>
  <si>
    <t>Flix (Eventuales)</t>
  </si>
  <si>
    <t>TOTAL FLIX</t>
  </si>
  <si>
    <t>Tarragona (Fijos)</t>
  </si>
  <si>
    <t>Tarragona (TP/JP)</t>
  </si>
  <si>
    <t>Tarragona (Eventuales)</t>
  </si>
  <si>
    <t>TOTAL TARRAGONA</t>
  </si>
  <si>
    <t>Cardona (Fijos)</t>
  </si>
  <si>
    <t>Cardona (TP/JP)</t>
  </si>
  <si>
    <t>Cardona (Eventuales)</t>
  </si>
  <si>
    <t>TOTAL CARDONA</t>
  </si>
  <si>
    <t>Sabiñánigo (Fijos)</t>
  </si>
  <si>
    <t>Sabiñánigo (TP/JP)</t>
  </si>
  <si>
    <t>Sabiñánigo (Eventuales)</t>
  </si>
  <si>
    <t>TOTAL SABIÑANIGO</t>
  </si>
  <si>
    <t>Vilaseca (Fijos)</t>
  </si>
  <si>
    <t>Vilaseca (TP/JP)</t>
  </si>
  <si>
    <t>Vilaseca (Eventuales)</t>
  </si>
  <si>
    <t>TOTAL VILASECA</t>
  </si>
  <si>
    <t xml:space="preserve">Red Comercial (Fijos)         </t>
  </si>
  <si>
    <t xml:space="preserve">Red Comercial (TP/JP)      </t>
  </si>
  <si>
    <t xml:space="preserve">Red Comercial (Eventuales) </t>
  </si>
  <si>
    <t>TOTAL RED COMERCIAL QUIM. BASICA</t>
  </si>
  <si>
    <t>Sede (Fijos)</t>
  </si>
  <si>
    <t>Sede (TP/JP)</t>
  </si>
  <si>
    <t>Sede (Eventuales)</t>
  </si>
  <si>
    <t>TOTAL SEDE QUIMICA BASICA</t>
  </si>
  <si>
    <t>I+D (Fijos)</t>
  </si>
  <si>
    <t>I+D (TP/JP)</t>
  </si>
  <si>
    <t>I+D (Eventuales)</t>
  </si>
  <si>
    <t>TOTAL I+D QUIMICA BASICA</t>
  </si>
  <si>
    <t>QUIM. BASICA (Fijos)</t>
  </si>
  <si>
    <t>QUIM. BASICA (TP/JP)</t>
  </si>
  <si>
    <t>QUIM. BASICA (Eventuales)</t>
  </si>
  <si>
    <t>TOTAL QUIMICA BASICA</t>
  </si>
  <si>
    <t>Mes QUIM. BASICA (Fijos)</t>
  </si>
  <si>
    <t>QUIM. BASICA (Media fijos)</t>
  </si>
  <si>
    <t>Mes QUIM. BASICA (TP/JP)</t>
  </si>
  <si>
    <t>QUIM. BASICA (Media TP/JP/SUS.T.E)</t>
  </si>
  <si>
    <t>Mes QUIM. BASICA (Eventuales)</t>
  </si>
  <si>
    <t>QUIM. BASICA (Media Eventuales)</t>
  </si>
  <si>
    <t>ACU TOTAL QUIMICA BASICA (Media fijos)</t>
  </si>
  <si>
    <t>Plantilla Media  QUIM. BASICA</t>
  </si>
  <si>
    <t>ACU QUIM. BASICA (Media TP/JP/SusTE)</t>
  </si>
  <si>
    <t>ACU QUIM. BASICA (Media eventuales)</t>
  </si>
  <si>
    <t>PLASTICOS</t>
  </si>
  <si>
    <t>Vil 2 y Log (Fijos)</t>
  </si>
  <si>
    <t>Vil 2 y Log (TP/JP)</t>
  </si>
  <si>
    <t>Vil 2 y Log (Eventuales)</t>
  </si>
  <si>
    <t>TOTAL VIL 2 y LOG</t>
  </si>
  <si>
    <t>Monzón (Fijos)</t>
  </si>
  <si>
    <t>Monzón (TP/JP)</t>
  </si>
  <si>
    <t>Monzón (Eventuales)</t>
  </si>
  <si>
    <t>TOTAL MONZON</t>
  </si>
  <si>
    <t>Red Comercial (Fijos)</t>
  </si>
  <si>
    <t>Red Comercial (TP/JP)</t>
  </si>
  <si>
    <t>Red Comercial (Eventuales)</t>
  </si>
  <si>
    <t>TOTAL RED COMERCIAL PLASTICOS</t>
  </si>
  <si>
    <t>TOTAL SEDE PLASTICOS</t>
  </si>
  <si>
    <t>TOTAL I+D PLASTICOS</t>
  </si>
  <si>
    <t>PLASTICOS (Fijos)</t>
  </si>
  <si>
    <t>PLASTICOS (TP/JP)</t>
  </si>
  <si>
    <t>PLASTICOS (Eventuales)</t>
  </si>
  <si>
    <t>TOTAL PLASTICOS</t>
  </si>
  <si>
    <t>Mes PLASTICOS (Fijos)</t>
  </si>
  <si>
    <t>PLASTICOS  (Media fijos)</t>
  </si>
  <si>
    <t>Mes PLASTICOS (TP/JP)</t>
  </si>
  <si>
    <t>PLASTICOS (Media TP/JP)</t>
  </si>
  <si>
    <t>Mes PLASTICOS (Eventuales)</t>
  </si>
  <si>
    <t>PLASTICOS  (Media eventuales)</t>
  </si>
  <si>
    <t>ACU TOTAL PLASTICOS (Media fijos)</t>
  </si>
  <si>
    <t>Plantilla Media PLASTICOS</t>
  </si>
  <si>
    <t>ACU PLASTICOS (Media TP/JP/SusTE)</t>
  </si>
  <si>
    <t>ACU PLASTICOS (Media eventuales)</t>
  </si>
  <si>
    <t>TTMNTO. AGUAS</t>
  </si>
  <si>
    <t xml:space="preserve">TOTAL SABIÑANIGO </t>
  </si>
  <si>
    <t>TOTAL RED COMERCIAL T. AGUAS</t>
  </si>
  <si>
    <t>TOTAL SEDE TTMNTO. AGUAS</t>
  </si>
  <si>
    <t>TTMNTO. AGUAS (Fijos)</t>
  </si>
  <si>
    <t>TTMNTO. AGUAS (TP/JP)</t>
  </si>
  <si>
    <t>TTMNTO. AGUAS (Eventuales)</t>
  </si>
  <si>
    <t>TOTAL TTMNTO. AGUAS</t>
  </si>
  <si>
    <t>Mes TA (Fijos)</t>
  </si>
  <si>
    <t>TTMNTO. AGUAS (Media fijos)</t>
  </si>
  <si>
    <t>Mes TA (TP/JP)</t>
  </si>
  <si>
    <t>TTMNTO. AGUAS (Media TP/JP)</t>
  </si>
  <si>
    <t>Mes TA (Eventuales)</t>
  </si>
  <si>
    <t>TTMNTO. AGUAS (Media eventuales)</t>
  </si>
  <si>
    <t>ACU TOTAL TA (Media fijos)</t>
  </si>
  <si>
    <t>Plantilla Media TTMNTO. AGUAS</t>
  </si>
  <si>
    <t>ACU TA (Media TP/JP/SusTE)</t>
  </si>
  <si>
    <t>ACU TA (Media eventuales)</t>
  </si>
  <si>
    <t>Aranjuez (Fijos)</t>
  </si>
  <si>
    <t>Aranjuez (TP/JP)</t>
  </si>
  <si>
    <t>Aranjuez (Eventuales)</t>
  </si>
  <si>
    <t>TOTAL ARANJUEZ</t>
  </si>
  <si>
    <t>TOTAL RED COMERCIAL FARMACIA</t>
  </si>
  <si>
    <t>TOTAL SEDE FARMACIA</t>
  </si>
  <si>
    <t>TOTAL I+D FARMACIA</t>
  </si>
  <si>
    <t>FARMACIA (Fijos)</t>
  </si>
  <si>
    <t>FARMACIA (TP/JP)</t>
  </si>
  <si>
    <t>FARMACIA (Eventuales)</t>
  </si>
  <si>
    <t>TOTAL FARMACIA</t>
  </si>
  <si>
    <t>Mes FARM. (Fijos)</t>
  </si>
  <si>
    <t>FARMACIA (Media fijos)</t>
  </si>
  <si>
    <t>Mes FARM. (TP/JP)</t>
  </si>
  <si>
    <t>FARMACIA (Media TP/JP)</t>
  </si>
  <si>
    <t>Mes FARM. (Eventuales)</t>
  </si>
  <si>
    <t>FARMACIA (Media eventuales)</t>
  </si>
  <si>
    <t>ACU TOTAL FARM. (Media fijos)</t>
  </si>
  <si>
    <t>Plantilla Media FARMACIA</t>
  </si>
  <si>
    <t>ACU FARM. (Media TP/JP/SusTE)</t>
  </si>
  <si>
    <t>ACU FARM. (Media eventuales)</t>
  </si>
  <si>
    <t>INTERNACIONAL Q.BÁSICA</t>
  </si>
  <si>
    <t>Francia (Fijos)</t>
  </si>
  <si>
    <t>Francia (Eventuales)</t>
  </si>
  <si>
    <t>TOTAL FRANCIA</t>
  </si>
  <si>
    <t>INTERNACIONAL (Fijos)</t>
  </si>
  <si>
    <t>INTERNACIONAL (Eventuales)</t>
  </si>
  <si>
    <t>TOTAL INTERNACIONAL</t>
  </si>
  <si>
    <t>Mes INTERN. (Fijos)</t>
  </si>
  <si>
    <t>INTERNACIONAL (Media fijos)</t>
  </si>
  <si>
    <t>Mes INTERN. (TP/JP)</t>
  </si>
  <si>
    <t>INTERNACIONAL (Media eventuales)</t>
  </si>
  <si>
    <t>Mes INTERN. (Eventuales)</t>
  </si>
  <si>
    <t>Plantilla Media INTERNACIONAL</t>
  </si>
  <si>
    <t>ACU TOTAL INTERN. (Media fijos)</t>
  </si>
  <si>
    <t>ACU INTERN. (Media TP/JP/SusTE)</t>
  </si>
  <si>
    <t>ACU INTERN. (Media eventuales)</t>
  </si>
  <si>
    <t>QUIMICA INTERMEDIA</t>
  </si>
  <si>
    <t>Almussafes (Fijos)</t>
  </si>
  <si>
    <t>Almussafes (TP/JP)</t>
  </si>
  <si>
    <t>Almussafes (Eventuales)</t>
  </si>
  <si>
    <t>TOTAL ALMUSSAFES</t>
  </si>
  <si>
    <t>Tortosa (Fijos)</t>
  </si>
  <si>
    <t>Tortosa (TP/JP)</t>
  </si>
  <si>
    <t>Tortosa (Eventuales)</t>
  </si>
  <si>
    <t>TOTAL TORTOSA</t>
  </si>
  <si>
    <t>I+D + Ingeniería (Fijos)</t>
  </si>
  <si>
    <t>I+D + Ingeniería (TP/JP)</t>
  </si>
  <si>
    <t>I+D + Ingeniería (Eventuales)</t>
  </si>
  <si>
    <t>TOTAL I+D + INGENIERIA</t>
  </si>
  <si>
    <t>Cerdanyola (Fijos)</t>
  </si>
  <si>
    <t>Cerdanyola (TP/JP)</t>
  </si>
  <si>
    <t>Cerdanyola (Eventuales)</t>
  </si>
  <si>
    <t>TOTAL CERDANYOLA</t>
  </si>
  <si>
    <t>TOTAL RED COMERCIAL QUIM. INTERM.</t>
  </si>
  <si>
    <t>TOTAL SEDE QUIMICA INTERMEDIA</t>
  </si>
  <si>
    <t xml:space="preserve">QUIMICA INTERMEDIA (Fijos) </t>
  </si>
  <si>
    <t>QUIMICA INTERMEDIA (TP/JP)</t>
  </si>
  <si>
    <t>QUIMICA INTERMEDIA (Eventuales)</t>
  </si>
  <si>
    <t>TOTAL QUIMICA INTERMEDIA</t>
  </si>
  <si>
    <t>Mes QUIM. INTERM. (Fijos)</t>
  </si>
  <si>
    <t>QUIMICA INTERMEDIA (Media fijos)</t>
  </si>
  <si>
    <t>Mes QUIM. INTERM. (TP/JP)</t>
  </si>
  <si>
    <t>QUIMICA INTERMEDIA (Media TP/JP)</t>
  </si>
  <si>
    <t>Mes QUIM. INTERM. (Eventuales)</t>
  </si>
  <si>
    <t>QUIMICA INTERMEDIA (Media eventuales)</t>
  </si>
  <si>
    <t>ACU TOTAL QUIMICA INTERM. (Media fijos)</t>
  </si>
  <si>
    <t>Plantilla Media QUIMICA INTERMEDIA</t>
  </si>
  <si>
    <t>ACU QUIM. INTERM. (Media TP/JP/SusTE)</t>
  </si>
  <si>
    <t>ACU QUIM. INTERM. (Media eventuales)</t>
  </si>
  <si>
    <r>
      <t xml:space="preserve">RESUMEN DE PLANTILLA DE </t>
    </r>
    <r>
      <rPr>
        <b/>
        <u/>
        <sz val="14"/>
        <rFont val="Arial"/>
        <family val="2"/>
      </rPr>
      <t>CORPORACION</t>
    </r>
  </si>
  <si>
    <t>CORPORACION</t>
  </si>
  <si>
    <t>Corporación ERCROS S.A. (Fijos)</t>
  </si>
  <si>
    <t>Corporación ERCROS S.A. (TP/JP)</t>
  </si>
  <si>
    <t>Corporación ERCROS S.A. (Event.)</t>
  </si>
  <si>
    <t>TOTAL CORPORACION ERCROS S.A.</t>
  </si>
  <si>
    <t>CORPORACION  (Fijos)</t>
  </si>
  <si>
    <t>CORPORACION (TP/JP)</t>
  </si>
  <si>
    <t>CORPORACION (Eventuales)</t>
  </si>
  <si>
    <t>TOTAL CORPORACION</t>
  </si>
  <si>
    <t>Mes CORPOR. (Fijos)</t>
  </si>
  <si>
    <t>CORPORACION (Media fijos)</t>
  </si>
  <si>
    <t>Mes CORPOR. (TP/JP)</t>
  </si>
  <si>
    <t>CORPORACION (Media TP/JP)</t>
  </si>
  <si>
    <t>Mes CORPOR. (Eventuales)</t>
  </si>
  <si>
    <t>CORPORACION (Media eventuales)</t>
  </si>
  <si>
    <t>ACU TOTAL CORPOR. (Media fijos)</t>
  </si>
  <si>
    <t>Plantilla Media CORPORACION</t>
  </si>
  <si>
    <t>ACU CORPOR. (Media TP/JP/SusTE)</t>
  </si>
  <si>
    <t>ACU CORPOR. (Media eventuales)</t>
  </si>
  <si>
    <r>
      <t xml:space="preserve">RESUMEN DE PLANTILLA - </t>
    </r>
    <r>
      <rPr>
        <b/>
        <u/>
        <sz val="14"/>
        <rFont val="Arial"/>
        <family val="2"/>
      </rPr>
      <t>TOTAL SOCIEDAD</t>
    </r>
  </si>
  <si>
    <t>TOTAL (Fijos)</t>
  </si>
  <si>
    <t>TOTAL (TP/JP/SUS.T.E.)</t>
  </si>
  <si>
    <t>TOTAL (Eventuales)</t>
  </si>
  <si>
    <t>TOTAL MES</t>
  </si>
  <si>
    <t>Mes SOCIEDAD (Fijos)</t>
  </si>
  <si>
    <t>TOTAL MEDIA (Fijos)</t>
  </si>
  <si>
    <t>Mes SOCIEDAD (TP/JP)</t>
  </si>
  <si>
    <t>TOTAL MEDIA (TP/JP/SUS.T.E.)</t>
  </si>
  <si>
    <t>Mes SOCIEDAD (Eventuales)</t>
  </si>
  <si>
    <t>TOTAL MEDIA (Eventuales)</t>
  </si>
  <si>
    <t>ACU TOTAL SOCIEDAD (Media fijos)</t>
  </si>
  <si>
    <t>Plantilla Media SOCIEDAD</t>
  </si>
  <si>
    <t>ACU SOCIEDAD (Media TP/JP/SusTE)</t>
  </si>
  <si>
    <t>TOTAL (Media fijos)</t>
  </si>
  <si>
    <t>ACU SOCIEDAD (Media eventuales)</t>
  </si>
  <si>
    <t>TOTAL (Media TP/JP/SUS.T.E.)</t>
  </si>
  <si>
    <t>TOTAL (Media eventuales)</t>
  </si>
  <si>
    <t>Nota: en esta estadística el criterio utilizado para la distribución de la plantilla ha sido mediante el centro de coste de cada trabajador.</t>
  </si>
  <si>
    <t>Nota 2: en esta estadística se incluye al personal jubilado parcial procedente de los contratos de relevo. Para el % de jornada imputado se ha utilizado el sistema J.C.E. (Jornada Completa Equivalente)</t>
  </si>
  <si>
    <t>Variación</t>
  </si>
  <si>
    <t>Otro resultado integral</t>
  </si>
  <si>
    <t>Reversión de provisiones por reversiones varias</t>
  </si>
  <si>
    <t>Costes por abandono de la tecnología de mercurio:</t>
  </si>
  <si>
    <t>Reducción de personal</t>
  </si>
  <si>
    <t>Desmantelamniento y remediación de instalaciones</t>
  </si>
  <si>
    <t>Gastos financieros, pérdidas y deterioro</t>
  </si>
  <si>
    <t>Paticipación en ganancias de asociadas</t>
  </si>
  <si>
    <t>CUENTA DE PÉRDIDAS Y GANANCIAS CONSOLIDADA</t>
  </si>
  <si>
    <t>CUENTA DE PÉRDIDAS Y GANANCIAS DE LAS DIVISIONES</t>
  </si>
  <si>
    <t>Margen ebitda/cifra de negocios ( %)</t>
  </si>
  <si>
    <t>VENTAS POR ÁREAS GEOGRÁFICAS</t>
  </si>
  <si>
    <t>Total consolidado</t>
  </si>
  <si>
    <t>Ejercicio
2016</t>
  </si>
  <si>
    <t>Cuota
(%)</t>
  </si>
  <si>
    <t>Variación
(%)</t>
  </si>
  <si>
    <t>Ejercicio
2017</t>
  </si>
  <si>
    <t>Nacional</t>
  </si>
  <si>
    <t>Resto de la U.E.</t>
  </si>
  <si>
    <t>Resto de la O.C.D.E.</t>
  </si>
  <si>
    <t>COMPRAS Y VENTAS EN DÓLARES</t>
  </si>
  <si>
    <t>Neto</t>
  </si>
  <si>
    <t>Equiv. €</t>
  </si>
  <si>
    <t>APROVISIONAMIENTOS Y SUMINISTROS</t>
  </si>
  <si>
    <t>Aprovisionamientos y suministros (A&amp;S)</t>
  </si>
  <si>
    <t>Variación (M€)</t>
  </si>
  <si>
    <t>ESTRUCTURA DE LA PLANTILLA MEDIA</t>
  </si>
  <si>
    <t>Cuota</t>
  </si>
  <si>
    <t>Variación   (%)</t>
  </si>
  <si>
    <t> Variación (%)</t>
  </si>
  <si>
    <t>INDICADORES FUNDAMENTALES</t>
  </si>
  <si>
    <t>Método de cálculo y propósito de cada indicador</t>
  </si>
  <si>
    <t>Liquidez: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</si>
  <si>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activos corrientes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pasivos corrientes.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</si>
  <si>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la capacidad para hacer frente a los compromisos de pago a corto plazo.</t>
    </r>
  </si>
  <si>
    <t>Solvencia: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</si>
  <si>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el grado de financiación ajena del Grupo.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</si>
  <si>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la capacidad de devolución de la financiación ajena en número de años.</t>
    </r>
  </si>
  <si>
    <t>ROCE:</t>
  </si>
  <si>
    <t>Período medio de cobro: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</si>
  <si>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(deudores medios del ejercicio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ventas) </t>
    </r>
    <r>
      <rPr>
        <sz val="10"/>
        <color theme="1"/>
        <rFont val="Symbol"/>
        <family val="1"/>
        <charset val="2"/>
      </rPr>
      <t>´</t>
    </r>
    <r>
      <rPr>
        <sz val="10"/>
        <color theme="1"/>
        <rFont val="Times New Roman"/>
        <family val="1"/>
      </rPr>
      <t xml:space="preserve"> 365.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</si>
  <si>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el promedio de días que transcurre entre las ventas y los cobros totales del ejercicio.</t>
    </r>
  </si>
  <si>
    <t>Período medio de pago: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</si>
  <si>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(acreedores medios del ejercicio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costes de explotación) </t>
    </r>
    <r>
      <rPr>
        <sz val="10"/>
        <color theme="1"/>
        <rFont val="Symbol"/>
        <family val="1"/>
        <charset val="2"/>
      </rPr>
      <t>´</t>
    </r>
    <r>
      <rPr>
        <sz val="10"/>
        <color theme="1"/>
        <rFont val="Times New Roman"/>
        <family val="1"/>
      </rPr>
      <t xml:space="preserve"> 365.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</si>
  <si>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el promedio de días que transcurre entre las compras y los pagos totales del ejercicio.</t>
    </r>
  </si>
  <si>
    <t>Producción: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</si>
  <si>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Cálculo: volumen de unidades producidas.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</si>
  <si>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el número de unidades físicas producidas.</t>
    </r>
  </si>
  <si>
    <t>Valor añadido: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</si>
  <si>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la riqueza que genera el Grupo.</t>
    </r>
  </si>
  <si>
    <t>Productividad: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</si>
  <si>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valor añadido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nº de empleados.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</si>
  <si>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la contribución media por empleado a la generación de valor añadido del Grupo.</t>
    </r>
  </si>
  <si>
    <r>
      <t xml:space="preserve">Margen bruto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ingresos: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</si>
  <si>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(ingresos </t>
    </r>
    <r>
      <rPr>
        <sz val="10"/>
        <color theme="1"/>
        <rFont val="Symbol"/>
        <family val="1"/>
        <charset val="2"/>
      </rPr>
      <t>-</t>
    </r>
    <r>
      <rPr>
        <sz val="10"/>
        <color theme="1"/>
        <rFont val="Times New Roman"/>
        <family val="1"/>
      </rPr>
      <t xml:space="preserve"> aprovisionamientos)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ingresos.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</si>
  <si>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la rentabilidad de la cartera de productos del Grupo.</t>
    </r>
  </si>
  <si>
    <t>Cotización: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</si>
  <si>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Cálculo: precio de la cotización de la acción de Ercros al cierre del ejercicio.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</si>
  <si>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conocer el valor dado por el mercado a cada acción de la Sociedad.</t>
    </r>
  </si>
  <si>
    <t>Capitalización: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</si>
  <si>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precio de cotización al cierre </t>
    </r>
    <r>
      <rPr>
        <sz val="10"/>
        <color theme="1"/>
        <rFont val="Symbol"/>
        <family val="1"/>
        <charset val="2"/>
      </rPr>
      <t>´</t>
    </r>
    <r>
      <rPr>
        <sz val="10"/>
        <color theme="1"/>
        <rFont val="Times New Roman"/>
        <family val="1"/>
      </rPr>
      <t xml:space="preserve"> número de acciones emitidas.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</si>
  <si>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conocer el valor que el mercado le asigna a los fondos propios de la Sociedad.</t>
    </r>
  </si>
  <si>
    <t>BPA: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</si>
  <si>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el beneficio que corresponde a cada acción.</t>
    </r>
  </si>
  <si>
    <t>CFA: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</si>
  <si>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</t>
    </r>
    <r>
      <rPr>
        <i/>
        <sz val="10"/>
        <color theme="1"/>
        <rFont val="Times New Roman"/>
        <family val="1"/>
      </rPr>
      <t>cash flow</t>
    </r>
    <r>
      <rPr>
        <sz val="10"/>
        <color theme="1"/>
        <rFont val="Times New Roman"/>
        <family val="1"/>
      </rPr>
      <t xml:space="preserve"> de explotación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número de acciones.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</si>
  <si>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el flujo de dinero generado que corresponde a cada acción.</t>
    </r>
  </si>
  <si>
    <t>PER: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</si>
  <si>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capitalización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resultado del ejercicio.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</si>
  <si>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conocer el número de veces que el beneficio por acción está incluido en el valor de la acción.</t>
    </r>
  </si>
  <si>
    <t>PVC ó P/BV: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</si>
  <si>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relacionar el valor de la Sociedad en la Bolsa con su valor teórico contable.</t>
    </r>
  </si>
  <si>
    <t>IF: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</si>
  <si>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Cálculo: número de accidentes con baja del personal propio por cada millón de horas trabajadas.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</si>
  <si>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la accidentabilidad del personal propio.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</si>
  <si>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número de accidentes con y sin baja del personal propio y ajeno </t>
    </r>
    <r>
      <rPr>
        <sz val="10"/>
        <color theme="1"/>
        <rFont val="Symbol"/>
        <family val="1"/>
        <charset val="2"/>
      </rPr>
      <t>´</t>
    </r>
    <r>
      <rPr>
        <sz val="10"/>
        <color theme="1"/>
        <rFont val="Times New Roman"/>
        <family val="1"/>
      </rPr>
      <t xml:space="preserve"> cada millón de horas trabajadas.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</si>
  <si>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la accidentabilidad total -con y sin baja- de todas las personas que trabajan en las instalaciones del Grupo, sean o no de la plantilla del Grupo.</t>
    </r>
  </si>
  <si>
    <t>Absentismo: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</si>
  <si>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porcentaje de jornadas perdidas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total de jornadas teóricas a trabajar en el año.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</si>
  <si>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conocer el porcentaje de jornadas perdidas por enfermedad común.</t>
    </r>
  </si>
  <si>
    <t>Índice de emisiones: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</si>
  <si>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volumen de los contaminantes más significativos (atmósfera, aguas y residuos) </t>
    </r>
    <r>
      <rPr>
        <sz val="10"/>
        <color theme="1"/>
        <rFont val="Symbol"/>
        <family val="1"/>
        <charset val="2"/>
      </rPr>
      <t>´</t>
    </r>
    <r>
      <rPr>
        <sz val="10"/>
        <color theme="1"/>
        <rFont val="Times New Roman"/>
        <family val="1"/>
      </rPr>
      <t xml:space="preserve"> un factor que varía en función de su peligrosidad.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</si>
  <si>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la evolución del comportamiento ambiental del Grupo.</t>
    </r>
  </si>
  <si>
    <r>
      <t>Emisiones de CO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 xml:space="preserve">: 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</si>
  <si>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Cálculo: según las directrices de la norma UNE-EN ISO 14064-1:2012.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</si>
  <si>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la incidencia de la actividad sobre el cambio climático.</t>
    </r>
  </si>
  <si>
    <t>Actividad con certificación de calidad: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</si>
  <si>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porcentaje de centros con certificación ISO 9001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total de centros.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</si>
  <si>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conocer el grado de implantación de un sistema de gestión de la calidad en el Grupo.</t>
    </r>
  </si>
  <si>
    <t>Actividad con certificación ambiental: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</si>
  <si>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porcentaje de centros con certificación ISO 14001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total de centros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</si>
  <si>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conocer el grado de implantación de un sistema de gestión medio ambiental en el Grupo</t>
    </r>
  </si>
  <si>
    <t>Actividad con certificación de prevención: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</si>
  <si>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porcentaje de centros con certificación OHSAS 18001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total de centros.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</si>
  <si>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conocer el grado de implantación de un sistema de gestión de la prevención de riesgos laborales en el Grupo.</t>
    </r>
  </si>
  <si>
    <r>
      <t>+</t>
    </r>
    <r>
      <rPr>
        <sz val="10"/>
        <color theme="1"/>
        <rFont val="Times New Roman"/>
        <family val="1"/>
      </rPr>
      <t xml:space="preserve"> = sumado.</t>
    </r>
  </si>
  <si>
    <r>
      <t>-</t>
    </r>
    <r>
      <rPr>
        <sz val="10"/>
        <color theme="1"/>
        <rFont val="Times New Roman"/>
        <family val="1"/>
      </rPr>
      <t xml:space="preserve"> = restado.</t>
    </r>
  </si>
  <si>
    <r>
      <t>´</t>
    </r>
    <r>
      <rPr>
        <sz val="10"/>
        <color theme="1"/>
        <rFont val="Times New Roman"/>
        <family val="1"/>
      </rPr>
      <t xml:space="preserve"> = multiplicado.</t>
    </r>
  </si>
  <si>
    <r>
      <t>¸</t>
    </r>
    <r>
      <rPr>
        <sz val="10"/>
        <color theme="1"/>
        <rFont val="Times New Roman"/>
        <family val="1"/>
      </rPr>
      <t xml:space="preserve"> = dividido.</t>
    </r>
  </si>
  <si>
    <t>ANÁLISIS ECONÓMICO DEL BALANCE</t>
  </si>
  <si>
    <t>ESTRUCTURA DE COSTES</t>
  </si>
  <si>
    <t>Variación Miles  €</t>
  </si>
  <si>
    <t>Miles $</t>
  </si>
  <si>
    <t>División
de farmacia</t>
  </si>
  <si>
    <t>División de
derivados del cloro</t>
  </si>
  <si>
    <t>División de
química intermedia</t>
  </si>
  <si>
    <t>Total
Ercros</t>
  </si>
  <si>
    <t>IF general</t>
  </si>
  <si>
    <t>Total Ercros</t>
  </si>
  <si>
    <t>Costes por abandono de la tecnología de mercurio</t>
  </si>
  <si>
    <t>Patrimonio total (PT)</t>
  </si>
  <si>
    <t>Deuda financiera neta (DFN)</t>
  </si>
  <si>
    <t>Ratio de solvencia (DFN/ebitda ordinario)</t>
  </si>
  <si>
    <t>Ratio de apalancamiento (DFN/PT)</t>
  </si>
  <si>
    <r>
      <t>Emisiones de CO</t>
    </r>
    <r>
      <rPr>
        <vertAlign val="subscript"/>
        <sz val="12"/>
        <color indexed="8"/>
        <rFont val="Times New Roman"/>
        <family val="1"/>
      </rPr>
      <t xml:space="preserve">2 </t>
    </r>
    <r>
      <rPr>
        <sz val="12"/>
        <color indexed="8"/>
        <rFont val="Times New Roman"/>
        <family val="1"/>
      </rPr>
      <t>(miles de toneladas de CO</t>
    </r>
    <r>
      <rPr>
        <vertAlign val="subscript"/>
        <sz val="12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 xml:space="preserve"> equivalente) </t>
    </r>
    <r>
      <rPr>
        <vertAlign val="superscript"/>
        <sz val="12"/>
        <color indexed="8"/>
        <rFont val="Times New Roman"/>
        <family val="1"/>
      </rPr>
      <t>2</t>
    </r>
  </si>
  <si>
    <r>
      <rPr>
        <vertAlign val="superscript"/>
        <sz val="12"/>
        <color theme="1"/>
        <rFont val="Times New Roman"/>
        <family val="1"/>
      </rPr>
      <t>2.</t>
    </r>
    <r>
      <rPr>
        <sz val="12"/>
        <color theme="1"/>
        <rFont val="Times New Roman"/>
        <family val="2"/>
      </rPr>
      <t xml:space="preserve"> Emisiones directas e indirectas de CO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2"/>
      </rPr>
      <t xml:space="preserve"> equivalente (alcances 1 y 2).  El dato de 2017 está pendiente de verificación externa.</t>
    </r>
  </si>
  <si>
    <t>Apalancamiento: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</si>
  <si>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deuda neta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patrimonio total.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</si>
  <si>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deuda neta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resultado bruto de explotación ordinario.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</si>
  <si>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el grado de financiación ajena respecto del patrimonio del Grupo Ercros.</t>
    </r>
  </si>
  <si>
    <t>Cobertura de financiación del inmovilizado: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</si>
  <si>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(patrimonio total + pasivos no corrientes)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activos no corrientes.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</si>
  <si>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resultado de explotación ordinario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recursos empleados.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</si>
  <si>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el nivel de rentabilidad obtenido por la empresa en su negocio ordinario en relación con la inversión realizada.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</si>
  <si>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Cálculo: resultado bruto de explotación ordinario + gastos de personal.</t>
    </r>
  </si>
  <si>
    <r>
      <t xml:space="preserve">Margen de ebitda ordinario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ventas: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</si>
  <si>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resultado bruto de explotación ordinario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ventas.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</si>
  <si>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la rentabilidad de las ventas en relación con los beneficios brutos de explotación ordinarios obtenidos.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</si>
  <si>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resultado del ejercicio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número medio ponderado de acciones.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</si>
  <si>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capitalización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patrimonio total.</t>
    </r>
  </si>
  <si>
    <t xml:space="preserve">IF general: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</si>
</sst>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\ &quot;€&quot;_-;\-* #,##0.00\ &quot;€&quot;_-;_-* &quot;-&quot;??\ &quot;€&quot;_-;_-@_-"/>
    <numFmt numFmtId="164" formatCode="0.0"/>
    <numFmt numFmtId="165" formatCode="0.0%"/>
    <numFmt numFmtId="166" formatCode="[$-C0A]mmm\-yy;@"/>
    <numFmt numFmtId="167" formatCode="#,##0;\(#,##0\);\-"/>
    <numFmt numFmtId="168" formatCode="#,##0.00;\(#,##0.00\);\-"/>
    <numFmt numFmtId="169" formatCode="#,##0.0000;\(#,##0.0000\);\-"/>
    <numFmt numFmtId="170" formatCode="0.000"/>
    <numFmt numFmtId="171" formatCode="#,##0.0"/>
    <numFmt numFmtId="172" formatCode="_-* #,##0.00\ _P_t_s_-;\-* #,##0.00\ _P_t_s_-;_-* &quot;-&quot;??\ _P_t_s_-;_-@_-"/>
    <numFmt numFmtId="173" formatCode="#,##0_ ;[Red]\-#,##0\ "/>
    <numFmt numFmtId="174" formatCode="dd\-mm\-yy;@"/>
    <numFmt numFmtId="175" formatCode="#,##0.00_);\(#,##0.00\)"/>
    <numFmt numFmtId="176" formatCode="0.0000"/>
  </numFmts>
  <fonts count="64" x14ac:knownFonts="1">
    <font>
      <sz val="12"/>
      <color theme="1"/>
      <name val="Times New Roman"/>
      <family val="2"/>
    </font>
    <font>
      <sz val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4"/>
      <name val="Book Antiqua"/>
      <family val="1"/>
    </font>
    <font>
      <sz val="10"/>
      <name val="Book Antiqua"/>
      <family val="1"/>
    </font>
    <font>
      <b/>
      <sz val="10"/>
      <color indexed="9"/>
      <name val="Book Antiqua"/>
      <family val="1"/>
    </font>
    <font>
      <b/>
      <sz val="10"/>
      <name val="Book Antiqua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vertAlign val="subscript"/>
      <sz val="12"/>
      <color indexed="8"/>
      <name val="Times New Roman"/>
      <family val="1"/>
    </font>
    <font>
      <sz val="12"/>
      <name val="Times New Roman"/>
      <family val="2"/>
    </font>
    <font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6"/>
      <name val="Arial"/>
      <family val="2"/>
    </font>
    <font>
      <sz val="6"/>
      <color indexed="52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1F497D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sz val="9"/>
      <color rgb="FF000000"/>
      <name val="Times New Roman"/>
      <family val="1"/>
    </font>
    <font>
      <sz val="10"/>
      <color rgb="FFFF0000"/>
      <name val="Arial"/>
      <family val="2"/>
    </font>
    <font>
      <sz val="11"/>
      <color rgb="FF1F497D"/>
      <name val="Calibri"/>
      <family val="2"/>
    </font>
    <font>
      <vertAlign val="superscript"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2"/>
      <color theme="0"/>
      <name val="Times New Roman"/>
      <family val="2"/>
    </font>
    <font>
      <sz val="11"/>
      <name val="Calibri"/>
      <family val="2"/>
      <scheme val="minor"/>
    </font>
    <font>
      <b/>
      <sz val="14"/>
      <name val="Times New Roman"/>
      <family val="1"/>
    </font>
    <font>
      <sz val="12"/>
      <name val="Calibri"/>
      <family val="2"/>
    </font>
    <font>
      <b/>
      <sz val="14"/>
      <name val="Times New Roman"/>
      <family val="2"/>
    </font>
    <font>
      <b/>
      <sz val="12"/>
      <name val="Times New Roman"/>
      <family val="2"/>
    </font>
    <font>
      <vertAlign val="subscript"/>
      <sz val="10"/>
      <color theme="1"/>
      <name val="Times New Roman"/>
      <family val="1"/>
    </font>
    <font>
      <sz val="7"/>
      <color theme="1"/>
      <name val="Times New Roman"/>
      <family val="1"/>
    </font>
    <font>
      <sz val="10"/>
      <color theme="1"/>
      <name val="Symbol"/>
      <family val="1"/>
      <charset val="2"/>
    </font>
    <font>
      <i/>
      <sz val="10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vertAlign val="superscript"/>
      <sz val="12"/>
      <color indexed="8"/>
      <name val="Times New Roman"/>
      <family val="1"/>
    </font>
    <font>
      <vertAlign val="superscript"/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b/>
      <sz val="14"/>
      <color indexed="8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medium">
        <color indexed="64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/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172" fontId="9" fillId="0" borderId="0" applyFont="0" applyFill="0" applyBorder="0" applyAlignment="0" applyProtection="0"/>
    <xf numFmtId="0" fontId="1" fillId="0" borderId="0"/>
    <xf numFmtId="0" fontId="32" fillId="0" borderId="0"/>
    <xf numFmtId="0" fontId="12" fillId="0" borderId="0"/>
    <xf numFmtId="0" fontId="9" fillId="0" borderId="0"/>
    <xf numFmtId="0" fontId="33" fillId="0" borderId="0"/>
    <xf numFmtId="0" fontId="32" fillId="0" borderId="0"/>
    <xf numFmtId="0" fontId="19" fillId="0" borderId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774">
    <xf numFmtId="0" fontId="0" fillId="0" borderId="0" xfId="0"/>
    <xf numFmtId="0" fontId="34" fillId="0" borderId="0" xfId="0" applyFont="1" applyFill="1"/>
    <xf numFmtId="4" fontId="34" fillId="0" borderId="0" xfId="0" applyNumberFormat="1" applyFont="1" applyBorder="1"/>
    <xf numFmtId="165" fontId="34" fillId="0" borderId="0" xfId="9" applyNumberFormat="1" applyFont="1" applyBorder="1"/>
    <xf numFmtId="0" fontId="34" fillId="0" borderId="0" xfId="0" applyFont="1" applyBorder="1"/>
    <xf numFmtId="0" fontId="3" fillId="0" borderId="0" xfId="0" applyFont="1" applyFill="1" applyBorder="1" applyAlignment="1"/>
    <xf numFmtId="165" fontId="3" fillId="0" borderId="0" xfId="9" applyNumberFormat="1" applyFont="1" applyFill="1" applyBorder="1"/>
    <xf numFmtId="165" fontId="34" fillId="0" borderId="0" xfId="0" applyNumberFormat="1" applyFont="1" applyBorder="1"/>
    <xf numFmtId="0" fontId="34" fillId="0" borderId="0" xfId="0" applyFont="1" applyFill="1" applyBorder="1"/>
    <xf numFmtId="165" fontId="34" fillId="0" borderId="0" xfId="9" applyNumberFormat="1" applyFont="1" applyFill="1" applyBorder="1"/>
    <xf numFmtId="165" fontId="34" fillId="0" borderId="0" xfId="9" applyNumberFormat="1" applyFont="1" applyBorder="1" applyAlignment="1">
      <alignment vertical="center"/>
    </xf>
    <xf numFmtId="0" fontId="5" fillId="3" borderId="0" xfId="0" applyFont="1" applyFill="1"/>
    <xf numFmtId="166" fontId="5" fillId="3" borderId="0" xfId="0" applyNumberFormat="1" applyFont="1" applyFill="1" applyAlignment="1">
      <alignment horizontal="center"/>
    </xf>
    <xf numFmtId="167" fontId="6" fillId="3" borderId="0" xfId="0" applyNumberFormat="1" applyFont="1" applyFill="1"/>
    <xf numFmtId="168" fontId="6" fillId="3" borderId="0" xfId="0" applyNumberFormat="1" applyFont="1" applyFill="1"/>
    <xf numFmtId="0" fontId="6" fillId="3" borderId="0" xfId="0" applyFont="1" applyFill="1"/>
    <xf numFmtId="0" fontId="7" fillId="4" borderId="8" xfId="0" quotePrefix="1" applyFont="1" applyFill="1" applyBorder="1" applyAlignment="1">
      <alignment horizontal="center" vertical="center" wrapText="1"/>
    </xf>
    <xf numFmtId="0" fontId="7" fillId="4" borderId="10" xfId="0" quotePrefix="1" applyFont="1" applyFill="1" applyBorder="1" applyAlignment="1">
      <alignment horizontal="center" vertical="center" wrapText="1"/>
    </xf>
    <xf numFmtId="0" fontId="7" fillId="4" borderId="11" xfId="0" quotePrefix="1" applyFont="1" applyFill="1" applyBorder="1" applyAlignment="1">
      <alignment horizontal="center" vertical="center" wrapText="1"/>
    </xf>
    <xf numFmtId="0" fontId="7" fillId="4" borderId="12" xfId="0" quotePrefix="1" applyFont="1" applyFill="1" applyBorder="1" applyAlignment="1">
      <alignment horizontal="center" vertical="center" wrapText="1"/>
    </xf>
    <xf numFmtId="0" fontId="7" fillId="4" borderId="13" xfId="0" quotePrefix="1" applyFont="1" applyFill="1" applyBorder="1" applyAlignment="1">
      <alignment horizontal="center" vertical="center" wrapText="1"/>
    </xf>
    <xf numFmtId="0" fontId="7" fillId="4" borderId="14" xfId="0" quotePrefix="1" applyFont="1" applyFill="1" applyBorder="1" applyAlignment="1">
      <alignment horizontal="center" vertical="center" wrapText="1"/>
    </xf>
    <xf numFmtId="166" fontId="7" fillId="5" borderId="15" xfId="0" applyNumberFormat="1" applyFont="1" applyFill="1" applyBorder="1" applyAlignment="1">
      <alignment horizontal="center" vertical="center" wrapText="1"/>
    </xf>
    <xf numFmtId="166" fontId="7" fillId="5" borderId="16" xfId="0" applyNumberFormat="1" applyFont="1" applyFill="1" applyBorder="1" applyAlignment="1">
      <alignment horizontal="center" vertical="center" wrapText="1"/>
    </xf>
    <xf numFmtId="166" fontId="7" fillId="5" borderId="17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/>
    <xf numFmtId="167" fontId="6" fillId="3" borderId="1" xfId="0" applyNumberFormat="1" applyFont="1" applyFill="1" applyBorder="1"/>
    <xf numFmtId="168" fontId="6" fillId="3" borderId="1" xfId="0" applyNumberFormat="1" applyFont="1" applyFill="1" applyBorder="1"/>
    <xf numFmtId="168" fontId="6" fillId="3" borderId="5" xfId="0" applyNumberFormat="1" applyFont="1" applyFill="1" applyBorder="1"/>
    <xf numFmtId="0" fontId="8" fillId="3" borderId="19" xfId="0" applyFont="1" applyFill="1" applyBorder="1"/>
    <xf numFmtId="167" fontId="6" fillId="0" borderId="8" xfId="0" applyNumberFormat="1" applyFont="1" applyFill="1" applyBorder="1"/>
    <xf numFmtId="167" fontId="6" fillId="0" borderId="20" xfId="0" applyNumberFormat="1" applyFont="1" applyFill="1" applyBorder="1"/>
    <xf numFmtId="10" fontId="6" fillId="0" borderId="11" xfId="9" applyNumberFormat="1" applyFont="1" applyFill="1" applyBorder="1"/>
    <xf numFmtId="0" fontId="6" fillId="0" borderId="0" xfId="0" applyFont="1" applyFill="1"/>
    <xf numFmtId="0" fontId="8" fillId="3" borderId="21" xfId="0" applyFont="1" applyFill="1" applyBorder="1"/>
    <xf numFmtId="167" fontId="6" fillId="0" borderId="3" xfId="0" applyNumberFormat="1" applyFont="1" applyFill="1" applyBorder="1"/>
    <xf numFmtId="167" fontId="6" fillId="0" borderId="22" xfId="0" applyNumberFormat="1" applyFont="1" applyFill="1" applyBorder="1"/>
    <xf numFmtId="10" fontId="6" fillId="0" borderId="4" xfId="9" applyNumberFormat="1" applyFont="1" applyFill="1" applyBorder="1"/>
    <xf numFmtId="0" fontId="8" fillId="3" borderId="23" xfId="0" applyFont="1" applyFill="1" applyBorder="1"/>
    <xf numFmtId="167" fontId="6" fillId="0" borderId="24" xfId="0" applyNumberFormat="1" applyFont="1" applyFill="1" applyBorder="1"/>
    <xf numFmtId="167" fontId="8" fillId="0" borderId="25" xfId="0" applyNumberFormat="1" applyFont="1" applyFill="1" applyBorder="1"/>
    <xf numFmtId="167" fontId="8" fillId="0" borderId="26" xfId="0" applyNumberFormat="1" applyFont="1" applyFill="1" applyBorder="1"/>
    <xf numFmtId="10" fontId="8" fillId="0" borderId="27" xfId="9" applyNumberFormat="1" applyFont="1" applyFill="1" applyBorder="1"/>
    <xf numFmtId="167" fontId="6" fillId="0" borderId="0" xfId="0" applyNumberFormat="1" applyFont="1" applyFill="1"/>
    <xf numFmtId="168" fontId="6" fillId="0" borderId="0" xfId="0" applyNumberFormat="1" applyFont="1" applyFill="1"/>
    <xf numFmtId="0" fontId="6" fillId="3" borderId="28" xfId="0" applyFont="1" applyFill="1" applyBorder="1"/>
    <xf numFmtId="0" fontId="8" fillId="3" borderId="29" xfId="0" applyFont="1" applyFill="1" applyBorder="1" applyAlignment="1">
      <alignment horizontal="center"/>
    </xf>
    <xf numFmtId="169" fontId="6" fillId="0" borderId="29" xfId="0" applyNumberFormat="1" applyFont="1" applyFill="1" applyBorder="1"/>
    <xf numFmtId="169" fontId="6" fillId="3" borderId="29" xfId="0" applyNumberFormat="1" applyFont="1" applyFill="1" applyBorder="1"/>
    <xf numFmtId="10" fontId="6" fillId="0" borderId="29" xfId="9" applyNumberFormat="1" applyFont="1" applyFill="1" applyBorder="1"/>
    <xf numFmtId="167" fontId="6" fillId="3" borderId="16" xfId="0" applyNumberFormat="1" applyFont="1" applyFill="1" applyBorder="1"/>
    <xf numFmtId="0" fontId="6" fillId="3" borderId="0" xfId="0" applyFont="1" applyFill="1" applyAlignment="1">
      <alignment horizontal="center"/>
    </xf>
    <xf numFmtId="0" fontId="6" fillId="3" borderId="9" xfId="0" applyFont="1" applyFill="1" applyBorder="1"/>
    <xf numFmtId="0" fontId="8" fillId="3" borderId="30" xfId="0" applyFont="1" applyFill="1" applyBorder="1"/>
    <xf numFmtId="9" fontId="6" fillId="0" borderId="11" xfId="9" applyNumberFormat="1" applyFont="1" applyFill="1" applyBorder="1"/>
    <xf numFmtId="167" fontId="6" fillId="0" borderId="31" xfId="0" applyNumberFormat="1" applyFont="1" applyFill="1" applyBorder="1"/>
    <xf numFmtId="9" fontId="6" fillId="0" borderId="19" xfId="9" applyNumberFormat="1" applyFont="1" applyFill="1" applyBorder="1"/>
    <xf numFmtId="0" fontId="8" fillId="3" borderId="31" xfId="0" applyFont="1" applyFill="1" applyBorder="1"/>
    <xf numFmtId="9" fontId="6" fillId="0" borderId="4" xfId="9" applyNumberFormat="1" applyFont="1" applyFill="1" applyBorder="1"/>
    <xf numFmtId="9" fontId="6" fillId="0" borderId="21" xfId="9" applyNumberFormat="1" applyFont="1" applyFill="1" applyBorder="1"/>
    <xf numFmtId="10" fontId="6" fillId="0" borderId="21" xfId="9" applyNumberFormat="1" applyFont="1" applyFill="1" applyBorder="1"/>
    <xf numFmtId="167" fontId="6" fillId="0" borderId="32" xfId="0" applyNumberFormat="1" applyFont="1" applyFill="1" applyBorder="1"/>
    <xf numFmtId="167" fontId="6" fillId="0" borderId="33" xfId="0" applyNumberFormat="1" applyFont="1" applyFill="1" applyBorder="1"/>
    <xf numFmtId="0" fontId="8" fillId="3" borderId="23" xfId="0" applyFont="1" applyFill="1" applyBorder="1" applyAlignment="1">
      <alignment horizontal="left"/>
    </xf>
    <xf numFmtId="167" fontId="6" fillId="0" borderId="34" xfId="0" applyNumberFormat="1" applyFont="1" applyFill="1" applyBorder="1"/>
    <xf numFmtId="167" fontId="6" fillId="0" borderId="35" xfId="0" applyNumberFormat="1" applyFont="1" applyFill="1" applyBorder="1"/>
    <xf numFmtId="9" fontId="6" fillId="0" borderId="36" xfId="9" applyNumberFormat="1" applyFont="1" applyFill="1" applyBorder="1"/>
    <xf numFmtId="0" fontId="8" fillId="6" borderId="7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19" xfId="0" applyFont="1" applyFill="1" applyBorder="1" applyAlignment="1">
      <alignment horizontal="left"/>
    </xf>
    <xf numFmtId="167" fontId="6" fillId="3" borderId="8" xfId="0" applyNumberFormat="1" applyFont="1" applyFill="1" applyBorder="1"/>
    <xf numFmtId="167" fontId="6" fillId="3" borderId="20" xfId="0" applyNumberFormat="1" applyFont="1" applyFill="1" applyBorder="1"/>
    <xf numFmtId="0" fontId="8" fillId="6" borderId="21" xfId="0" applyFont="1" applyFill="1" applyBorder="1" applyAlignment="1">
      <alignment horizontal="left"/>
    </xf>
    <xf numFmtId="167" fontId="6" fillId="3" borderId="3" xfId="0" applyNumberFormat="1" applyFont="1" applyFill="1" applyBorder="1"/>
    <xf numFmtId="167" fontId="6" fillId="3" borderId="22" xfId="0" applyNumberFormat="1" applyFont="1" applyFill="1" applyBorder="1"/>
    <xf numFmtId="0" fontId="8" fillId="6" borderId="36" xfId="0" applyFont="1" applyFill="1" applyBorder="1" applyAlignment="1">
      <alignment horizontal="left"/>
    </xf>
    <xf numFmtId="167" fontId="6" fillId="3" borderId="9" xfId="0" applyNumberFormat="1" applyFont="1" applyFill="1" applyBorder="1"/>
    <xf numFmtId="167" fontId="6" fillId="3" borderId="24" xfId="0" applyNumberFormat="1" applyFont="1" applyFill="1" applyBorder="1"/>
    <xf numFmtId="10" fontId="6" fillId="0" borderId="5" xfId="9" applyNumberFormat="1" applyFont="1" applyFill="1" applyBorder="1"/>
    <xf numFmtId="167" fontId="6" fillId="0" borderId="9" xfId="0" applyNumberFormat="1" applyFont="1" applyFill="1" applyBorder="1"/>
    <xf numFmtId="0" fontId="8" fillId="0" borderId="0" xfId="0" applyFont="1" applyFill="1" applyBorder="1" applyAlignment="1">
      <alignment horizontal="left"/>
    </xf>
    <xf numFmtId="167" fontId="8" fillId="0" borderId="34" xfId="0" applyNumberFormat="1" applyFont="1" applyFill="1" applyBorder="1"/>
    <xf numFmtId="10" fontId="8" fillId="0" borderId="36" xfId="9" applyNumberFormat="1" applyFont="1" applyFill="1" applyBorder="1"/>
    <xf numFmtId="0" fontId="6" fillId="0" borderId="0" xfId="0" applyFont="1" applyFill="1" applyBorder="1"/>
    <xf numFmtId="167" fontId="6" fillId="0" borderId="0" xfId="0" applyNumberFormat="1" applyFont="1" applyFill="1" applyBorder="1"/>
    <xf numFmtId="168" fontId="6" fillId="0" borderId="0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left"/>
    </xf>
    <xf numFmtId="10" fontId="6" fillId="0" borderId="0" xfId="9" applyNumberFormat="1" applyFont="1" applyFill="1" applyBorder="1"/>
    <xf numFmtId="0" fontId="8" fillId="3" borderId="21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6" fillId="3" borderId="0" xfId="0" applyFont="1" applyFill="1" applyBorder="1"/>
    <xf numFmtId="167" fontId="6" fillId="3" borderId="0" xfId="0" applyNumberFormat="1" applyFont="1" applyFill="1" applyBorder="1"/>
    <xf numFmtId="168" fontId="6" fillId="3" borderId="0" xfId="0" applyNumberFormat="1" applyFont="1" applyFill="1" applyBorder="1"/>
    <xf numFmtId="168" fontId="6" fillId="0" borderId="3" xfId="0" applyNumberFormat="1" applyFont="1" applyFill="1" applyBorder="1"/>
    <xf numFmtId="10" fontId="6" fillId="0" borderId="4" xfId="9" applyNumberFormat="1" applyFont="1" applyFill="1" applyBorder="1" applyAlignment="1">
      <alignment horizontal="right"/>
    </xf>
    <xf numFmtId="168" fontId="6" fillId="0" borderId="3" xfId="0" applyNumberFormat="1" applyFont="1" applyFill="1" applyBorder="1" applyAlignment="1">
      <alignment horizontal="right"/>
    </xf>
    <xf numFmtId="167" fontId="6" fillId="0" borderId="3" xfId="0" applyNumberFormat="1" applyFont="1" applyFill="1" applyBorder="1" applyAlignment="1">
      <alignment horizontal="right"/>
    </xf>
    <xf numFmtId="0" fontId="8" fillId="0" borderId="37" xfId="0" applyFont="1" applyFill="1" applyBorder="1"/>
    <xf numFmtId="10" fontId="8" fillId="0" borderId="6" xfId="9" applyNumberFormat="1" applyFont="1" applyFill="1" applyBorder="1"/>
    <xf numFmtId="10" fontId="6" fillId="3" borderId="0" xfId="9" applyNumberFormat="1" applyFont="1" applyFill="1"/>
    <xf numFmtId="165" fontId="6" fillId="3" borderId="0" xfId="9" applyNumberFormat="1" applyFont="1" applyFill="1"/>
    <xf numFmtId="10" fontId="8" fillId="0" borderId="4" xfId="9" applyNumberFormat="1" applyFont="1" applyFill="1" applyBorder="1"/>
    <xf numFmtId="167" fontId="8" fillId="0" borderId="3" xfId="0" applyNumberFormat="1" applyFont="1" applyFill="1" applyBorder="1"/>
    <xf numFmtId="167" fontId="8" fillId="0" borderId="22" xfId="0" applyNumberFormat="1" applyFont="1" applyFill="1" applyBorder="1"/>
    <xf numFmtId="168" fontId="8" fillId="0" borderId="0" xfId="0" applyNumberFormat="1" applyFont="1" applyFill="1" applyBorder="1"/>
    <xf numFmtId="168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8" fillId="3" borderId="0" xfId="0" applyFont="1" applyFill="1" applyBorder="1"/>
    <xf numFmtId="0" fontId="6" fillId="0" borderId="38" xfId="0" applyFont="1" applyFill="1" applyBorder="1" applyAlignment="1">
      <alignment horizontal="left"/>
    </xf>
    <xf numFmtId="0" fontId="6" fillId="0" borderId="39" xfId="0" applyFont="1" applyFill="1" applyBorder="1" applyAlignment="1">
      <alignment horizontal="left"/>
    </xf>
    <xf numFmtId="0" fontId="8" fillId="0" borderId="40" xfId="0" applyFont="1" applyFill="1" applyBorder="1" applyAlignment="1">
      <alignment horizontal="left"/>
    </xf>
    <xf numFmtId="168" fontId="8" fillId="0" borderId="41" xfId="0" applyNumberFormat="1" applyFont="1" applyFill="1" applyBorder="1"/>
    <xf numFmtId="168" fontId="8" fillId="0" borderId="42" xfId="0" applyNumberFormat="1" applyFont="1" applyFill="1" applyBorder="1"/>
    <xf numFmtId="10" fontId="8" fillId="0" borderId="43" xfId="9" applyNumberFormat="1" applyFont="1" applyFill="1" applyBorder="1"/>
    <xf numFmtId="167" fontId="8" fillId="0" borderId="42" xfId="0" applyNumberFormat="1" applyFont="1" applyFill="1" applyBorder="1"/>
    <xf numFmtId="49" fontId="6" fillId="3" borderId="0" xfId="0" applyNumberFormat="1" applyFont="1" applyFill="1" applyAlignment="1">
      <alignment horizontal="right"/>
    </xf>
    <xf numFmtId="10" fontId="6" fillId="0" borderId="0" xfId="0" applyNumberFormat="1" applyFont="1" applyFill="1" applyBorder="1"/>
    <xf numFmtId="0" fontId="8" fillId="0" borderId="44" xfId="0" applyFont="1" applyFill="1" applyBorder="1" applyAlignment="1">
      <alignment horizontal="left"/>
    </xf>
    <xf numFmtId="168" fontId="8" fillId="0" borderId="28" xfId="0" applyNumberFormat="1" applyFont="1" applyFill="1" applyBorder="1"/>
    <xf numFmtId="10" fontId="8" fillId="0" borderId="45" xfId="9" applyNumberFormat="1" applyFont="1" applyFill="1" applyBorder="1"/>
    <xf numFmtId="167" fontId="8" fillId="0" borderId="46" xfId="0" applyNumberFormat="1" applyFont="1" applyFill="1" applyBorder="1"/>
    <xf numFmtId="167" fontId="8" fillId="0" borderId="0" xfId="0" applyNumberFormat="1" applyFont="1" applyFill="1" applyBorder="1"/>
    <xf numFmtId="167" fontId="8" fillId="0" borderId="28" xfId="0" applyNumberFormat="1" applyFont="1" applyFill="1" applyBorder="1"/>
    <xf numFmtId="167" fontId="8" fillId="3" borderId="0" xfId="0" applyNumberFormat="1" applyFont="1" applyFill="1" applyBorder="1"/>
    <xf numFmtId="168" fontId="8" fillId="3" borderId="0" xfId="0" applyNumberFormat="1" applyFont="1" applyFill="1" applyBorder="1"/>
    <xf numFmtId="0" fontId="6" fillId="3" borderId="3" xfId="0" applyFont="1" applyFill="1" applyBorder="1"/>
    <xf numFmtId="168" fontId="6" fillId="3" borderId="4" xfId="0" applyNumberFormat="1" applyFont="1" applyFill="1" applyBorder="1"/>
    <xf numFmtId="0" fontId="8" fillId="3" borderId="39" xfId="0" applyFont="1" applyFill="1" applyBorder="1"/>
    <xf numFmtId="0" fontId="8" fillId="0" borderId="47" xfId="0" applyFont="1" applyFill="1" applyBorder="1" applyAlignment="1">
      <alignment horizontal="left"/>
    </xf>
    <xf numFmtId="168" fontId="6" fillId="0" borderId="8" xfId="0" applyNumberFormat="1" applyFont="1" applyFill="1" applyBorder="1"/>
    <xf numFmtId="168" fontId="6" fillId="0" borderId="10" xfId="0" applyNumberFormat="1" applyFont="1" applyFill="1" applyBorder="1"/>
    <xf numFmtId="168" fontId="8" fillId="3" borderId="3" xfId="0" applyNumberFormat="1" applyFont="1" applyFill="1" applyBorder="1"/>
    <xf numFmtId="167" fontId="6" fillId="0" borderId="10" xfId="0" applyNumberFormat="1" applyFont="1" applyFill="1" applyBorder="1"/>
    <xf numFmtId="10" fontId="6" fillId="0" borderId="11" xfId="9" applyNumberFormat="1" applyFont="1" applyFill="1" applyBorder="1" applyAlignment="1">
      <alignment horizontal="right"/>
    </xf>
    <xf numFmtId="10" fontId="8" fillId="3" borderId="4" xfId="9" applyNumberFormat="1" applyFont="1" applyFill="1" applyBorder="1"/>
    <xf numFmtId="168" fontId="8" fillId="0" borderId="46" xfId="0" applyNumberFormat="1" applyFont="1" applyFill="1" applyBorder="1"/>
    <xf numFmtId="10" fontId="8" fillId="3" borderId="45" xfId="9" applyNumberFormat="1" applyFont="1" applyFill="1" applyBorder="1"/>
    <xf numFmtId="167" fontId="8" fillId="0" borderId="41" xfId="0" applyNumberFormat="1" applyFont="1" applyFill="1" applyBorder="1"/>
    <xf numFmtId="168" fontId="8" fillId="0" borderId="7" xfId="0" applyNumberFormat="1" applyFont="1" applyFill="1" applyBorder="1"/>
    <xf numFmtId="168" fontId="8" fillId="0" borderId="2" xfId="0" applyNumberFormat="1" applyFont="1" applyFill="1" applyBorder="1"/>
    <xf numFmtId="167" fontId="8" fillId="0" borderId="7" xfId="0" applyNumberFormat="1" applyFont="1" applyFill="1" applyBorder="1"/>
    <xf numFmtId="167" fontId="8" fillId="0" borderId="2" xfId="0" applyNumberFormat="1" applyFont="1" applyFill="1" applyBorder="1"/>
    <xf numFmtId="167" fontId="8" fillId="3" borderId="3" xfId="0" applyNumberFormat="1" applyFont="1" applyFill="1" applyBorder="1"/>
    <xf numFmtId="165" fontId="6" fillId="3" borderId="0" xfId="9" applyNumberFormat="1" applyFont="1" applyFill="1" applyBorder="1"/>
    <xf numFmtId="165" fontId="6" fillId="0" borderId="0" xfId="9" applyNumberFormat="1" applyFont="1" applyFill="1" applyBorder="1" applyAlignment="1">
      <alignment horizontal="right"/>
    </xf>
    <xf numFmtId="165" fontId="6" fillId="0" borderId="0" xfId="9" applyNumberFormat="1" applyFont="1" applyFill="1" applyBorder="1"/>
    <xf numFmtId="165" fontId="8" fillId="0" borderId="0" xfId="9" applyNumberFormat="1" applyFont="1" applyFill="1" applyBorder="1"/>
    <xf numFmtId="167" fontId="8" fillId="3" borderId="22" xfId="0" applyNumberFormat="1" applyFont="1" applyFill="1" applyBorder="1"/>
    <xf numFmtId="0" fontId="8" fillId="3" borderId="7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35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165" fontId="2" fillId="0" borderId="0" xfId="9" applyNumberFormat="1" applyFont="1" applyFill="1" applyBorder="1"/>
    <xf numFmtId="0" fontId="34" fillId="0" borderId="0" xfId="0" applyFont="1" applyBorder="1" applyAlignment="1">
      <alignment vertical="top"/>
    </xf>
    <xf numFmtId="164" fontId="34" fillId="0" borderId="0" xfId="0" applyNumberFormat="1" applyFont="1" applyBorder="1"/>
    <xf numFmtId="3" fontId="2" fillId="0" borderId="0" xfId="0" applyNumberFormat="1" applyFont="1" applyFill="1" applyBorder="1"/>
    <xf numFmtId="3" fontId="35" fillId="0" borderId="0" xfId="0" applyNumberFormat="1" applyFont="1" applyBorder="1"/>
    <xf numFmtId="3" fontId="35" fillId="0" borderId="0" xfId="0" applyNumberFormat="1" applyFont="1" applyBorder="1" applyAlignment="1">
      <alignment vertical="center"/>
    </xf>
    <xf numFmtId="165" fontId="35" fillId="0" borderId="0" xfId="9" applyNumberFormat="1" applyFont="1" applyBorder="1" applyAlignment="1">
      <alignment vertical="center"/>
    </xf>
    <xf numFmtId="3" fontId="34" fillId="0" borderId="0" xfId="0" applyNumberFormat="1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3" fontId="41" fillId="0" borderId="0" xfId="0" applyNumberFormat="1" applyFont="1" applyBorder="1" applyAlignment="1">
      <alignment vertical="center"/>
    </xf>
    <xf numFmtId="3" fontId="13" fillId="0" borderId="0" xfId="0" applyNumberFormat="1" applyFont="1" applyFill="1" applyBorder="1"/>
    <xf numFmtId="3" fontId="13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9" fillId="0" borderId="49" xfId="5" applyNumberFormat="1" applyFill="1" applyBorder="1"/>
    <xf numFmtId="3" fontId="14" fillId="0" borderId="20" xfId="5" applyNumberFormat="1" applyFont="1" applyFill="1" applyBorder="1" applyAlignment="1">
      <alignment horizontal="center" vertical="center"/>
    </xf>
    <xf numFmtId="49" fontId="14" fillId="0" borderId="20" xfId="5" applyNumberFormat="1" applyFont="1" applyFill="1" applyBorder="1" applyAlignment="1">
      <alignment horizontal="center" vertical="center" wrapText="1"/>
    </xf>
    <xf numFmtId="3" fontId="14" fillId="0" borderId="20" xfId="5" applyNumberFormat="1" applyFont="1" applyFill="1" applyBorder="1" applyAlignment="1">
      <alignment horizontal="center" vertical="center" wrapText="1"/>
    </xf>
    <xf numFmtId="4" fontId="14" fillId="0" borderId="20" xfId="5" applyNumberFormat="1" applyFont="1" applyFill="1" applyBorder="1" applyAlignment="1">
      <alignment horizontal="center" vertical="center" wrapText="1"/>
    </xf>
    <xf numFmtId="3" fontId="14" fillId="0" borderId="20" xfId="5" applyNumberFormat="1" applyFont="1" applyBorder="1" applyAlignment="1">
      <alignment horizontal="center" vertical="center"/>
    </xf>
    <xf numFmtId="3" fontId="14" fillId="0" borderId="20" xfId="5" applyNumberFormat="1" applyFont="1" applyBorder="1" applyAlignment="1">
      <alignment horizontal="center" vertical="center" wrapText="1"/>
    </xf>
    <xf numFmtId="4" fontId="14" fillId="0" borderId="20" xfId="5" applyNumberFormat="1" applyFont="1" applyBorder="1" applyAlignment="1">
      <alignment horizontal="center" vertical="center"/>
    </xf>
    <xf numFmtId="3" fontId="9" fillId="0" borderId="0" xfId="5" applyNumberFormat="1"/>
    <xf numFmtId="3" fontId="9" fillId="0" borderId="32" xfId="5" applyNumberFormat="1" applyFill="1" applyBorder="1"/>
    <xf numFmtId="3" fontId="9" fillId="0" borderId="22" xfId="5" applyNumberFormat="1" applyFill="1" applyBorder="1" applyAlignment="1">
      <alignment horizontal="center"/>
    </xf>
    <xf numFmtId="3" fontId="9" fillId="0" borderId="22" xfId="5" applyNumberFormat="1" applyFont="1" applyFill="1" applyBorder="1" applyAlignment="1">
      <alignment horizontal="center"/>
    </xf>
    <xf numFmtId="3" fontId="9" fillId="0" borderId="22" xfId="5" applyNumberFormat="1" applyFill="1" applyBorder="1"/>
    <xf numFmtId="4" fontId="15" fillId="0" borderId="22" xfId="5" applyNumberFormat="1" applyFont="1" applyFill="1" applyBorder="1" applyAlignment="1">
      <alignment horizontal="center"/>
    </xf>
    <xf numFmtId="4" fontId="9" fillId="0" borderId="22" xfId="5" applyNumberFormat="1" applyFill="1" applyBorder="1"/>
    <xf numFmtId="0" fontId="9" fillId="0" borderId="22" xfId="5" applyFont="1" applyFill="1" applyBorder="1" applyAlignment="1">
      <alignment horizontal="right" readingOrder="2"/>
    </xf>
    <xf numFmtId="4" fontId="9" fillId="0" borderId="22" xfId="5" applyNumberFormat="1" applyBorder="1"/>
    <xf numFmtId="3" fontId="16" fillId="0" borderId="32" xfId="5" applyNumberFormat="1" applyFont="1" applyFill="1" applyBorder="1"/>
    <xf numFmtId="3" fontId="16" fillId="0" borderId="22" xfId="5" applyNumberFormat="1" applyFont="1" applyFill="1" applyBorder="1" applyAlignment="1">
      <alignment horizontal="center"/>
    </xf>
    <xf numFmtId="4" fontId="9" fillId="0" borderId="22" xfId="5" applyNumberFormat="1" applyFont="1" applyFill="1" applyBorder="1"/>
    <xf numFmtId="3" fontId="15" fillId="0" borderId="32" xfId="5" applyNumberFormat="1" applyFont="1" applyFill="1" applyBorder="1" applyAlignment="1">
      <alignment horizontal="left"/>
    </xf>
    <xf numFmtId="3" fontId="15" fillId="0" borderId="22" xfId="5" applyNumberFormat="1" applyFont="1" applyFill="1" applyBorder="1" applyAlignment="1">
      <alignment horizontal="center"/>
    </xf>
    <xf numFmtId="3" fontId="15" fillId="0" borderId="32" xfId="5" quotePrefix="1" applyNumberFormat="1" applyFont="1" applyFill="1" applyBorder="1" applyAlignment="1">
      <alignment horizontal="left"/>
    </xf>
    <xf numFmtId="3" fontId="15" fillId="0" borderId="22" xfId="5" quotePrefix="1" applyNumberFormat="1" applyFont="1" applyFill="1" applyBorder="1" applyAlignment="1">
      <alignment horizontal="center"/>
    </xf>
    <xf numFmtId="3" fontId="15" fillId="0" borderId="32" xfId="5" applyNumberFormat="1" applyFont="1" applyFill="1" applyBorder="1"/>
    <xf numFmtId="3" fontId="15" fillId="0" borderId="0" xfId="5" applyNumberFormat="1" applyFont="1"/>
    <xf numFmtId="3" fontId="42" fillId="0" borderId="32" xfId="5" applyNumberFormat="1" applyFont="1" applyFill="1" applyBorder="1"/>
    <xf numFmtId="3" fontId="42" fillId="0" borderId="22" xfId="5" applyNumberFormat="1" applyFont="1" applyFill="1" applyBorder="1" applyAlignment="1">
      <alignment horizontal="center"/>
    </xf>
    <xf numFmtId="3" fontId="16" fillId="0" borderId="0" xfId="5" applyNumberFormat="1" applyFont="1"/>
    <xf numFmtId="4" fontId="15" fillId="0" borderId="22" xfId="5" applyNumberFormat="1" applyFont="1" applyFill="1" applyBorder="1"/>
    <xf numFmtId="3" fontId="14" fillId="0" borderId="25" xfId="5" applyNumberFormat="1" applyFont="1" applyFill="1" applyBorder="1"/>
    <xf numFmtId="4" fontId="14" fillId="0" borderId="26" xfId="5" applyNumberFormat="1" applyFont="1" applyFill="1" applyBorder="1"/>
    <xf numFmtId="4" fontId="14" fillId="8" borderId="26" xfId="5" applyNumberFormat="1" applyFont="1" applyFill="1" applyBorder="1" applyAlignment="1">
      <alignment horizontal="right" readingOrder="2"/>
    </xf>
    <xf numFmtId="4" fontId="14" fillId="8" borderId="26" xfId="5" applyNumberFormat="1" applyFont="1" applyFill="1" applyBorder="1"/>
    <xf numFmtId="3" fontId="14" fillId="0" borderId="0" xfId="5" applyNumberFormat="1" applyFont="1"/>
    <xf numFmtId="173" fontId="9" fillId="0" borderId="22" xfId="5" applyNumberFormat="1" applyFont="1" applyFill="1" applyBorder="1"/>
    <xf numFmtId="3" fontId="9" fillId="0" borderId="22" xfId="5" applyNumberFormat="1" applyBorder="1" applyAlignment="1">
      <alignment horizontal="right" readingOrder="2"/>
    </xf>
    <xf numFmtId="3" fontId="9" fillId="0" borderId="24" xfId="5" applyNumberFormat="1" applyFill="1" applyBorder="1" applyAlignment="1">
      <alignment horizontal="center"/>
    </xf>
    <xf numFmtId="3" fontId="9" fillId="0" borderId="24" xfId="5" applyNumberFormat="1" applyFont="1" applyFill="1" applyBorder="1"/>
    <xf numFmtId="3" fontId="9" fillId="0" borderId="24" xfId="5" applyNumberFormat="1" applyFont="1" applyBorder="1"/>
    <xf numFmtId="3" fontId="9" fillId="0" borderId="24" xfId="5" applyNumberFormat="1" applyBorder="1" applyAlignment="1">
      <alignment horizontal="right" readingOrder="2"/>
    </xf>
    <xf numFmtId="3" fontId="14" fillId="0" borderId="24" xfId="5" applyNumberFormat="1" applyFont="1" applyFill="1" applyBorder="1" applyAlignment="1">
      <alignment horizontal="center"/>
    </xf>
    <xf numFmtId="3" fontId="9" fillId="0" borderId="0" xfId="5" applyNumberFormat="1" applyFill="1" applyBorder="1" applyAlignment="1">
      <alignment horizontal="center"/>
    </xf>
    <xf numFmtId="172" fontId="32" fillId="0" borderId="0" xfId="1" applyFont="1" applyFill="1" applyBorder="1" applyAlignment="1">
      <alignment horizontal="center"/>
    </xf>
    <xf numFmtId="4" fontId="9" fillId="0" borderId="0" xfId="5" applyNumberFormat="1" applyFont="1" applyFill="1" applyBorder="1"/>
    <xf numFmtId="172" fontId="32" fillId="0" borderId="0" xfId="1" applyFont="1" applyFill="1" applyBorder="1"/>
    <xf numFmtId="4" fontId="15" fillId="0" borderId="0" xfId="5" applyNumberFormat="1" applyFont="1" applyFill="1" applyBorder="1"/>
    <xf numFmtId="4" fontId="9" fillId="0" borderId="0" xfId="5" applyNumberFormat="1" applyFill="1" applyBorder="1"/>
    <xf numFmtId="4" fontId="9" fillId="0" borderId="0" xfId="5" applyNumberFormat="1"/>
    <xf numFmtId="3" fontId="9" fillId="0" borderId="0" xfId="5" applyNumberFormat="1" applyFill="1" applyAlignment="1">
      <alignment horizontal="center"/>
    </xf>
    <xf numFmtId="172" fontId="32" fillId="0" borderId="0" xfId="1" applyFont="1" applyFill="1"/>
    <xf numFmtId="3" fontId="9" fillId="0" borderId="0" xfId="5" applyNumberFormat="1" applyFill="1"/>
    <xf numFmtId="3" fontId="9" fillId="0" borderId="0" xfId="5" applyNumberFormat="1" applyBorder="1"/>
    <xf numFmtId="172" fontId="32" fillId="0" borderId="0" xfId="1" applyFont="1" applyBorder="1"/>
    <xf numFmtId="4" fontId="15" fillId="0" borderId="0" xfId="5" applyNumberFormat="1" applyFont="1" applyFill="1"/>
    <xf numFmtId="4" fontId="9" fillId="0" borderId="0" xfId="5" applyNumberFormat="1" applyFill="1"/>
    <xf numFmtId="3" fontId="9" fillId="0" borderId="22" xfId="5" applyNumberFormat="1" applyFont="1" applyFill="1" applyBorder="1"/>
    <xf numFmtId="3" fontId="9" fillId="0" borderId="22" xfId="11" applyNumberFormat="1" applyFont="1" applyFill="1" applyBorder="1"/>
    <xf numFmtId="3" fontId="14" fillId="0" borderId="24" xfId="5" applyNumberFormat="1" applyFont="1" applyFill="1" applyBorder="1"/>
    <xf numFmtId="3" fontId="14" fillId="0" borderId="24" xfId="11" applyNumberFormat="1" applyFont="1" applyFill="1" applyBorder="1"/>
    <xf numFmtId="3" fontId="14" fillId="0" borderId="24" xfId="5" applyNumberFormat="1" applyFont="1" applyBorder="1" applyAlignment="1">
      <alignment horizontal="right" readingOrder="2"/>
    </xf>
    <xf numFmtId="0" fontId="35" fillId="0" borderId="0" xfId="0" applyFont="1" applyFill="1" applyBorder="1" applyAlignment="1">
      <alignment horizontal="center"/>
    </xf>
    <xf numFmtId="3" fontId="3" fillId="0" borderId="0" xfId="0" applyNumberFormat="1" applyFont="1" applyFill="1" applyBorder="1"/>
    <xf numFmtId="0" fontId="34" fillId="0" borderId="0" xfId="0" applyFont="1"/>
    <xf numFmtId="0" fontId="19" fillId="0" borderId="0" xfId="8"/>
    <xf numFmtId="0" fontId="20" fillId="0" borderId="0" xfId="8" applyFont="1" applyAlignment="1">
      <alignment horizontal="center"/>
    </xf>
    <xf numFmtId="164" fontId="21" fillId="0" borderId="38" xfId="8" applyNumberFormat="1" applyFont="1" applyBorder="1" applyAlignment="1">
      <alignment horizontal="center"/>
    </xf>
    <xf numFmtId="164" fontId="1" fillId="0" borderId="39" xfId="8" applyNumberFormat="1" applyFont="1" applyBorder="1"/>
    <xf numFmtId="0" fontId="23" fillId="0" borderId="47" xfId="8" applyFont="1" applyFill="1" applyBorder="1"/>
    <xf numFmtId="0" fontId="1" fillId="0" borderId="8" xfId="8" applyFont="1" applyBorder="1"/>
    <xf numFmtId="0" fontId="1" fillId="0" borderId="51" xfId="8" applyFont="1" applyBorder="1"/>
    <xf numFmtId="0" fontId="1" fillId="0" borderId="52" xfId="8" applyFont="1" applyBorder="1"/>
    <xf numFmtId="0" fontId="1" fillId="0" borderId="3" xfId="8" applyFont="1" applyBorder="1"/>
    <xf numFmtId="0" fontId="1" fillId="0" borderId="53" xfId="8" applyFont="1" applyBorder="1"/>
    <xf numFmtId="0" fontId="1" fillId="0" borderId="54" xfId="8" applyFont="1" applyBorder="1"/>
    <xf numFmtId="0" fontId="1" fillId="0" borderId="55" xfId="8" applyFont="1" applyBorder="1"/>
    <xf numFmtId="0" fontId="1" fillId="0" borderId="47" xfId="8" applyFont="1" applyBorder="1"/>
    <xf numFmtId="0" fontId="22" fillId="0" borderId="47" xfId="8" applyFont="1" applyBorder="1" applyAlignment="1">
      <alignment horizontal="right"/>
    </xf>
    <xf numFmtId="2" fontId="22" fillId="7" borderId="55" xfId="8" applyNumberFormat="1" applyFont="1" applyFill="1" applyBorder="1"/>
    <xf numFmtId="2" fontId="22" fillId="7" borderId="48" xfId="8" applyNumberFormat="1" applyFont="1" applyFill="1" applyBorder="1"/>
    <xf numFmtId="2" fontId="19" fillId="0" borderId="0" xfId="8" applyNumberFormat="1"/>
    <xf numFmtId="0" fontId="1" fillId="0" borderId="39" xfId="8" applyFont="1" applyBorder="1"/>
    <xf numFmtId="0" fontId="22" fillId="7" borderId="55" xfId="8" applyFont="1" applyFill="1" applyBorder="1"/>
    <xf numFmtId="0" fontId="22" fillId="7" borderId="48" xfId="8" applyFont="1" applyFill="1" applyBorder="1"/>
    <xf numFmtId="2" fontId="22" fillId="7" borderId="47" xfId="8" applyNumberFormat="1" applyFont="1" applyFill="1" applyBorder="1"/>
    <xf numFmtId="0" fontId="22" fillId="0" borderId="47" xfId="8" applyFont="1" applyFill="1" applyBorder="1" applyAlignment="1">
      <alignment horizontal="right"/>
    </xf>
    <xf numFmtId="0" fontId="22" fillId="0" borderId="9" xfId="8" applyFont="1" applyBorder="1" applyAlignment="1">
      <alignment horizontal="right"/>
    </xf>
    <xf numFmtId="0" fontId="1" fillId="0" borderId="39" xfId="8" applyFont="1" applyFill="1" applyBorder="1"/>
    <xf numFmtId="0" fontId="1" fillId="0" borderId="0" xfId="8" applyFont="1"/>
    <xf numFmtId="0" fontId="1" fillId="0" borderId="56" xfId="8" applyFont="1" applyBorder="1"/>
    <xf numFmtId="2" fontId="22" fillId="7" borderId="57" xfId="8" applyNumberFormat="1" applyFont="1" applyFill="1" applyBorder="1"/>
    <xf numFmtId="0" fontId="24" fillId="0" borderId="0" xfId="8" applyFont="1" applyAlignment="1">
      <alignment horizontal="right"/>
    </xf>
    <xf numFmtId="0" fontId="22" fillId="0" borderId="9" xfId="8" applyFont="1" applyFill="1" applyBorder="1" applyAlignment="1">
      <alignment horizontal="right"/>
    </xf>
    <xf numFmtId="0" fontId="19" fillId="0" borderId="0" xfId="8" applyBorder="1"/>
    <xf numFmtId="0" fontId="1" fillId="2" borderId="38" xfId="8" applyFont="1" applyFill="1" applyBorder="1"/>
    <xf numFmtId="2" fontId="1" fillId="2" borderId="38" xfId="8" applyNumberFormat="1" applyFont="1" applyFill="1" applyBorder="1"/>
    <xf numFmtId="164" fontId="1" fillId="2" borderId="38" xfId="8" applyNumberFormat="1" applyFont="1" applyFill="1" applyBorder="1"/>
    <xf numFmtId="0" fontId="1" fillId="0" borderId="0" xfId="8" applyFont="1" applyFill="1" applyBorder="1"/>
    <xf numFmtId="0" fontId="1" fillId="2" borderId="39" xfId="8" applyFont="1" applyFill="1" applyBorder="1"/>
    <xf numFmtId="2" fontId="1" fillId="2" borderId="39" xfId="8" applyNumberFormat="1" applyFont="1" applyFill="1" applyBorder="1"/>
    <xf numFmtId="164" fontId="1" fillId="2" borderId="39" xfId="8" applyNumberFormat="1" applyFont="1" applyFill="1" applyBorder="1"/>
    <xf numFmtId="164" fontId="1" fillId="2" borderId="47" xfId="8" applyNumberFormat="1" applyFont="1" applyFill="1" applyBorder="1"/>
    <xf numFmtId="0" fontId="22" fillId="2" borderId="47" xfId="8" applyFont="1" applyFill="1" applyBorder="1" applyAlignment="1">
      <alignment horizontal="right"/>
    </xf>
    <xf numFmtId="2" fontId="22" fillId="2" borderId="48" xfId="8" applyNumberFormat="1" applyFont="1" applyFill="1" applyBorder="1"/>
    <xf numFmtId="0" fontId="25" fillId="0" borderId="0" xfId="8" applyFont="1"/>
    <xf numFmtId="0" fontId="21" fillId="0" borderId="38" xfId="8" applyFont="1" applyBorder="1" applyAlignment="1">
      <alignment horizontal="center"/>
    </xf>
    <xf numFmtId="0" fontId="19" fillId="0" borderId="39" xfId="8" applyBorder="1"/>
    <xf numFmtId="0" fontId="1" fillId="0" borderId="38" xfId="8" applyFont="1" applyBorder="1"/>
    <xf numFmtId="0" fontId="22" fillId="0" borderId="0" xfId="8" applyFont="1" applyAlignment="1">
      <alignment horizontal="right"/>
    </xf>
    <xf numFmtId="0" fontId="1" fillId="0" borderId="38" xfId="8" applyFont="1" applyFill="1" applyBorder="1" applyAlignment="1">
      <alignment horizontal="left"/>
    </xf>
    <xf numFmtId="0" fontId="1" fillId="0" borderId="39" xfId="8" applyFont="1" applyFill="1" applyBorder="1" applyAlignment="1">
      <alignment horizontal="left"/>
    </xf>
    <xf numFmtId="0" fontId="22" fillId="0" borderId="39" xfId="8" applyFont="1" applyFill="1" applyBorder="1" applyAlignment="1">
      <alignment horizontal="right"/>
    </xf>
    <xf numFmtId="0" fontId="1" fillId="0" borderId="58" xfId="8" applyFont="1" applyBorder="1"/>
    <xf numFmtId="0" fontId="1" fillId="0" borderId="59" xfId="8" applyFont="1" applyBorder="1"/>
    <xf numFmtId="0" fontId="1" fillId="2" borderId="39" xfId="8" applyFont="1" applyFill="1" applyBorder="1" applyAlignment="1">
      <alignment horizontal="left"/>
    </xf>
    <xf numFmtId="2" fontId="1" fillId="2" borderId="60" xfId="8" applyNumberFormat="1" applyFont="1" applyFill="1" applyBorder="1"/>
    <xf numFmtId="2" fontId="1" fillId="2" borderId="56" xfId="8" applyNumberFormat="1" applyFont="1" applyFill="1" applyBorder="1"/>
    <xf numFmtId="2" fontId="1" fillId="2" borderId="59" xfId="8" applyNumberFormat="1" applyFont="1" applyFill="1" applyBorder="1"/>
    <xf numFmtId="0" fontId="22" fillId="0" borderId="0" xfId="8" applyFont="1" applyFill="1" applyBorder="1" applyAlignment="1">
      <alignment horizontal="right"/>
    </xf>
    <xf numFmtId="164" fontId="22" fillId="0" borderId="0" xfId="8" applyNumberFormat="1" applyFont="1" applyFill="1" applyBorder="1"/>
    <xf numFmtId="0" fontId="24" fillId="0" borderId="0" xfId="8" applyFont="1" applyFill="1" applyAlignment="1">
      <alignment horizontal="right"/>
    </xf>
    <xf numFmtId="0" fontId="25" fillId="0" borderId="0" xfId="8" applyFont="1" applyFill="1" applyBorder="1" applyAlignment="1"/>
    <xf numFmtId="164" fontId="24" fillId="0" borderId="0" xfId="8" applyNumberFormat="1" applyFont="1" applyFill="1" applyBorder="1"/>
    <xf numFmtId="0" fontId="19" fillId="0" borderId="0" xfId="8" applyFill="1"/>
    <xf numFmtId="0" fontId="1" fillId="0" borderId="38" xfId="8" applyFont="1" applyFill="1" applyBorder="1"/>
    <xf numFmtId="2" fontId="1" fillId="2" borderId="51" xfId="8" applyNumberFormat="1" applyFont="1" applyFill="1" applyBorder="1"/>
    <xf numFmtId="0" fontId="1" fillId="0" borderId="61" xfId="8" applyFont="1" applyBorder="1"/>
    <xf numFmtId="2" fontId="1" fillId="2" borderId="52" xfId="8" applyNumberFormat="1" applyFont="1" applyFill="1" applyBorder="1"/>
    <xf numFmtId="2" fontId="1" fillId="2" borderId="61" xfId="8" applyNumberFormat="1" applyFont="1" applyFill="1" applyBorder="1"/>
    <xf numFmtId="164" fontId="1" fillId="2" borderId="52" xfId="8" applyNumberFormat="1" applyFont="1" applyFill="1" applyBorder="1"/>
    <xf numFmtId="164" fontId="1" fillId="2" borderId="61" xfId="8" applyNumberFormat="1" applyFont="1" applyFill="1" applyBorder="1"/>
    <xf numFmtId="164" fontId="22" fillId="2" borderId="48" xfId="8" applyNumberFormat="1" applyFont="1" applyFill="1" applyBorder="1"/>
    <xf numFmtId="0" fontId="1" fillId="0" borderId="3" xfId="8" applyFont="1" applyFill="1" applyBorder="1"/>
    <xf numFmtId="2" fontId="1" fillId="2" borderId="54" xfId="8" applyNumberFormat="1" applyFont="1" applyFill="1" applyBorder="1"/>
    <xf numFmtId="164" fontId="21" fillId="0" borderId="48" xfId="8" applyNumberFormat="1" applyFont="1" applyBorder="1" applyAlignment="1">
      <alignment horizontal="center"/>
    </xf>
    <xf numFmtId="0" fontId="19" fillId="0" borderId="0" xfId="8" applyFont="1"/>
    <xf numFmtId="0" fontId="19" fillId="0" borderId="38" xfId="8" applyFill="1" applyBorder="1"/>
    <xf numFmtId="0" fontId="19" fillId="0" borderId="39" xfId="8" applyFill="1" applyBorder="1"/>
    <xf numFmtId="0" fontId="19" fillId="0" borderId="0" xfId="8" applyFill="1" applyBorder="1"/>
    <xf numFmtId="0" fontId="28" fillId="0" borderId="0" xfId="8" applyFont="1" applyFill="1" applyBorder="1" applyAlignment="1">
      <alignment horizontal="center"/>
    </xf>
    <xf numFmtId="0" fontId="29" fillId="0" borderId="0" xfId="8" applyFont="1" applyAlignment="1">
      <alignment horizontal="center"/>
    </xf>
    <xf numFmtId="0" fontId="19" fillId="0" borderId="8" xfId="8" applyBorder="1"/>
    <xf numFmtId="0" fontId="19" fillId="0" borderId="3" xfId="8" applyBorder="1"/>
    <xf numFmtId="0" fontId="1" fillId="0" borderId="62" xfId="8" applyFont="1" applyBorder="1"/>
    <xf numFmtId="0" fontId="1" fillId="0" borderId="0" xfId="8" applyFont="1" applyAlignment="1">
      <alignment horizontal="center"/>
    </xf>
    <xf numFmtId="0" fontId="1" fillId="2" borderId="3" xfId="8" applyFont="1" applyFill="1" applyBorder="1"/>
    <xf numFmtId="2" fontId="1" fillId="2" borderId="47" xfId="8" applyNumberFormat="1" applyFont="1" applyFill="1" applyBorder="1"/>
    <xf numFmtId="0" fontId="22" fillId="2" borderId="9" xfId="8" applyFont="1" applyFill="1" applyBorder="1" applyAlignment="1">
      <alignment horizontal="right"/>
    </xf>
    <xf numFmtId="0" fontId="21" fillId="0" borderId="48" xfId="8" applyFont="1" applyBorder="1"/>
    <xf numFmtId="0" fontId="21" fillId="0" borderId="3" xfId="8" applyFont="1" applyBorder="1"/>
    <xf numFmtId="0" fontId="30" fillId="0" borderId="0" xfId="8" applyFont="1" applyFill="1" applyBorder="1"/>
    <xf numFmtId="2" fontId="30" fillId="0" borderId="0" xfId="8" applyNumberFormat="1" applyFont="1" applyFill="1" applyBorder="1"/>
    <xf numFmtId="0" fontId="30" fillId="0" borderId="0" xfId="8" applyFont="1" applyFill="1"/>
    <xf numFmtId="2" fontId="31" fillId="0" borderId="0" xfId="8" applyNumberFormat="1" applyFont="1" applyFill="1" applyBorder="1"/>
    <xf numFmtId="0" fontId="25" fillId="0" borderId="0" xfId="8" applyFont="1" applyFill="1" applyBorder="1"/>
    <xf numFmtId="0" fontId="25" fillId="0" borderId="0" xfId="8" applyFont="1" applyFill="1"/>
    <xf numFmtId="0" fontId="44" fillId="0" borderId="0" xfId="0" applyFont="1" applyAlignment="1">
      <alignment horizontal="justify" vertical="center"/>
    </xf>
    <xf numFmtId="0" fontId="38" fillId="0" borderId="0" xfId="0" applyFont="1" applyBorder="1" applyAlignment="1">
      <alignment horizontal="center" vertical="center" wrapText="1"/>
    </xf>
    <xf numFmtId="0" fontId="35" fillId="10" borderId="0" xfId="0" applyFont="1" applyFill="1" applyBorder="1"/>
    <xf numFmtId="0" fontId="0" fillId="8" borderId="0" xfId="0" applyFill="1"/>
    <xf numFmtId="0" fontId="47" fillId="0" borderId="0" xfId="0" applyFont="1" applyFill="1" applyAlignment="1">
      <alignment horizontal="center"/>
    </xf>
    <xf numFmtId="4" fontId="2" fillId="0" borderId="0" xfId="0" applyNumberFormat="1" applyFont="1" applyFill="1" applyBorder="1" applyAlignment="1">
      <alignment horizontal="right"/>
    </xf>
    <xf numFmtId="0" fontId="35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 vertical="center"/>
    </xf>
    <xf numFmtId="0" fontId="34" fillId="0" borderId="0" xfId="0" applyFont="1"/>
    <xf numFmtId="4" fontId="2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46" fillId="9" borderId="0" xfId="0" applyFont="1" applyFill="1" applyBorder="1" applyAlignment="1">
      <alignment horizontal="center" vertical="center"/>
    </xf>
    <xf numFmtId="0" fontId="46" fillId="9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165" fontId="37" fillId="0" borderId="0" xfId="0" applyNumberFormat="1" applyFont="1" applyFill="1" applyBorder="1" applyAlignment="1">
      <alignment vertical="center"/>
    </xf>
    <xf numFmtId="0" fontId="46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vertical="center"/>
    </xf>
    <xf numFmtId="0" fontId="2" fillId="0" borderId="0" xfId="0" applyFont="1" applyFill="1" applyBorder="1"/>
    <xf numFmtId="44" fontId="2" fillId="0" borderId="0" xfId="0" applyNumberFormat="1" applyFont="1" applyFill="1" applyBorder="1"/>
    <xf numFmtId="44" fontId="34" fillId="0" borderId="0" xfId="0" applyNumberFormat="1" applyFont="1" applyBorder="1"/>
    <xf numFmtId="0" fontId="13" fillId="0" borderId="0" xfId="0" applyFont="1" applyFill="1" applyBorder="1"/>
    <xf numFmtId="4" fontId="13" fillId="0" borderId="0" xfId="0" applyNumberFormat="1" applyFont="1" applyFill="1" applyBorder="1"/>
    <xf numFmtId="0" fontId="13" fillId="0" borderId="0" xfId="0" applyFont="1" applyFill="1" applyBorder="1" applyAlignment="1">
      <alignment horizontal="left"/>
    </xf>
    <xf numFmtId="4" fontId="13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5" fillId="0" borderId="0" xfId="0" applyFont="1" applyFill="1" applyBorder="1" applyAlignment="1">
      <alignment vertical="center"/>
    </xf>
    <xf numFmtId="0" fontId="39" fillId="0" borderId="0" xfId="0" applyFont="1" applyBorder="1" applyAlignment="1">
      <alignment vertical="center"/>
    </xf>
    <xf numFmtId="170" fontId="39" fillId="0" borderId="0" xfId="0" applyNumberFormat="1" applyFont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165" fontId="34" fillId="0" borderId="0" xfId="0" applyNumberFormat="1" applyFont="1" applyBorder="1" applyAlignment="1">
      <alignment vertical="center"/>
    </xf>
    <xf numFmtId="165" fontId="34" fillId="0" borderId="0" xfId="0" applyNumberFormat="1" applyFont="1" applyFill="1" applyBorder="1" applyAlignment="1">
      <alignment vertical="center"/>
    </xf>
    <xf numFmtId="165" fontId="34" fillId="0" borderId="0" xfId="9" applyNumberFormat="1" applyFont="1" applyFill="1" applyBorder="1" applyAlignment="1">
      <alignment vertical="center"/>
    </xf>
    <xf numFmtId="0" fontId="35" fillId="0" borderId="0" xfId="0" applyFont="1" applyBorder="1" applyAlignment="1"/>
    <xf numFmtId="0" fontId="35" fillId="0" borderId="0" xfId="0" applyFont="1" applyFill="1" applyBorder="1" applyAlignment="1"/>
    <xf numFmtId="0" fontId="34" fillId="0" borderId="0" xfId="0" applyFont="1" applyBorder="1" applyAlignment="1"/>
    <xf numFmtId="0" fontId="38" fillId="8" borderId="0" xfId="0" applyFont="1" applyFill="1" applyBorder="1" applyAlignment="1">
      <alignment vertical="center"/>
    </xf>
    <xf numFmtId="0" fontId="0" fillId="8" borderId="0" xfId="0" applyFill="1" applyBorder="1"/>
    <xf numFmtId="3" fontId="35" fillId="8" borderId="0" xfId="0" applyNumberFormat="1" applyFont="1" applyFill="1" applyBorder="1"/>
    <xf numFmtId="0" fontId="35" fillId="10" borderId="0" xfId="0" applyFont="1" applyFill="1" applyBorder="1" applyAlignment="1">
      <alignment vertical="center"/>
    </xf>
    <xf numFmtId="0" fontId="35" fillId="8" borderId="0" xfId="0" applyFont="1" applyFill="1" applyBorder="1" applyAlignment="1">
      <alignment vertical="center"/>
    </xf>
    <xf numFmtId="0" fontId="46" fillId="8" borderId="0" xfId="0" applyFont="1" applyFill="1" applyBorder="1" applyAlignment="1">
      <alignment horizontal="center" vertical="center" wrapText="1"/>
    </xf>
    <xf numFmtId="0" fontId="35" fillId="8" borderId="0" xfId="0" applyFont="1" applyFill="1" applyBorder="1" applyAlignment="1">
      <alignment horizontal="right" vertical="center"/>
    </xf>
    <xf numFmtId="0" fontId="34" fillId="8" borderId="0" xfId="0" applyFont="1" applyFill="1" applyBorder="1"/>
    <xf numFmtId="0" fontId="35" fillId="8" borderId="0" xfId="0" applyFont="1" applyFill="1" applyBorder="1" applyAlignment="1">
      <alignment horizontal="right"/>
    </xf>
    <xf numFmtId="0" fontId="35" fillId="8" borderId="0" xfId="0" applyFont="1" applyFill="1" applyBorder="1"/>
    <xf numFmtId="165" fontId="35" fillId="8" borderId="0" xfId="9" applyNumberFormat="1" applyFont="1" applyFill="1" applyBorder="1" applyAlignment="1">
      <alignment horizontal="right" vertical="center"/>
    </xf>
    <xf numFmtId="0" fontId="34" fillId="8" borderId="0" xfId="0" applyFont="1" applyFill="1" applyBorder="1" applyAlignment="1">
      <alignment vertical="center"/>
    </xf>
    <xf numFmtId="3" fontId="34" fillId="8" borderId="0" xfId="0" applyNumberFormat="1" applyFont="1" applyFill="1" applyBorder="1" applyAlignment="1">
      <alignment vertical="center"/>
    </xf>
    <xf numFmtId="3" fontId="34" fillId="8" borderId="0" xfId="0" applyNumberFormat="1" applyFont="1" applyFill="1" applyBorder="1"/>
    <xf numFmtId="0" fontId="34" fillId="8" borderId="0" xfId="0" applyFont="1" applyFill="1" applyBorder="1" applyAlignment="1">
      <alignment horizontal="right" vertical="center"/>
    </xf>
    <xf numFmtId="165" fontId="34" fillId="8" borderId="0" xfId="9" applyNumberFormat="1" applyFont="1" applyFill="1" applyBorder="1" applyAlignment="1">
      <alignment horizontal="right" vertical="center"/>
    </xf>
    <xf numFmtId="3" fontId="34" fillId="8" borderId="0" xfId="0" applyNumberFormat="1" applyFont="1" applyFill="1" applyBorder="1" applyAlignment="1">
      <alignment horizontal="right" vertical="center"/>
    </xf>
    <xf numFmtId="2" fontId="34" fillId="8" borderId="0" xfId="0" applyNumberFormat="1" applyFont="1" applyFill="1" applyBorder="1" applyAlignment="1">
      <alignment horizontal="right" vertical="center"/>
    </xf>
    <xf numFmtId="0" fontId="34" fillId="8" borderId="0" xfId="0" applyFont="1" applyFill="1"/>
    <xf numFmtId="0" fontId="34" fillId="8" borderId="0" xfId="0" applyFont="1" applyFill="1" applyBorder="1" applyAlignment="1">
      <alignment horizontal="left" vertical="center" indent="2"/>
    </xf>
    <xf numFmtId="0" fontId="34" fillId="8" borderId="0" xfId="0" applyFont="1" applyFill="1" applyBorder="1" applyAlignment="1">
      <alignment horizontal="left" indent="2"/>
    </xf>
    <xf numFmtId="0" fontId="37" fillId="8" borderId="0" xfId="0" applyFont="1" applyFill="1" applyBorder="1" applyAlignment="1">
      <alignment horizontal="right" vertical="center"/>
    </xf>
    <xf numFmtId="3" fontId="35" fillId="8" borderId="0" xfId="0" applyNumberFormat="1" applyFont="1" applyFill="1" applyBorder="1" applyAlignment="1">
      <alignment vertical="center"/>
    </xf>
    <xf numFmtId="0" fontId="34" fillId="8" borderId="0" xfId="0" applyFont="1" applyFill="1" applyBorder="1" applyAlignment="1">
      <alignment vertical="center" wrapText="1"/>
    </xf>
    <xf numFmtId="165" fontId="35" fillId="8" borderId="0" xfId="9" applyNumberFormat="1" applyFont="1" applyFill="1" applyBorder="1" applyAlignment="1">
      <alignment vertical="center"/>
    </xf>
    <xf numFmtId="165" fontId="35" fillId="8" borderId="0" xfId="9" applyNumberFormat="1" applyFont="1" applyFill="1" applyBorder="1" applyAlignment="1">
      <alignment horizontal="right" vertical="center" wrapText="1"/>
    </xf>
    <xf numFmtId="0" fontId="35" fillId="8" borderId="0" xfId="0" applyFont="1" applyFill="1" applyBorder="1" applyAlignment="1">
      <alignment horizontal="right" vertical="center" wrapText="1"/>
    </xf>
    <xf numFmtId="0" fontId="38" fillId="8" borderId="0" xfId="0" applyFont="1" applyFill="1" applyBorder="1" applyAlignment="1">
      <alignment horizontal="right" vertical="center" wrapText="1"/>
    </xf>
    <xf numFmtId="0" fontId="38" fillId="8" borderId="0" xfId="0" applyFont="1" applyFill="1" applyBorder="1" applyAlignment="1">
      <alignment horizontal="right" vertical="center"/>
    </xf>
    <xf numFmtId="3" fontId="0" fillId="8" borderId="0" xfId="0" applyNumberFormat="1" applyFill="1" applyBorder="1"/>
    <xf numFmtId="3" fontId="34" fillId="8" borderId="0" xfId="9" applyNumberFormat="1" applyFont="1" applyFill="1" applyBorder="1" applyAlignment="1">
      <alignment horizontal="right" vertical="center"/>
    </xf>
    <xf numFmtId="4" fontId="34" fillId="8" borderId="0" xfId="0" applyNumberFormat="1" applyFont="1" applyFill="1" applyBorder="1" applyAlignment="1">
      <alignment vertical="center"/>
    </xf>
    <xf numFmtId="4" fontId="34" fillId="8" borderId="0" xfId="0" applyNumberFormat="1" applyFont="1" applyFill="1" applyBorder="1"/>
    <xf numFmtId="2" fontId="34" fillId="8" borderId="0" xfId="0" applyNumberFormat="1" applyFont="1" applyFill="1" applyBorder="1" applyAlignment="1">
      <alignment vertical="center"/>
    </xf>
    <xf numFmtId="165" fontId="35" fillId="8" borderId="0" xfId="0" applyNumberFormat="1" applyFont="1" applyFill="1" applyBorder="1" applyAlignment="1">
      <alignment horizontal="right" vertical="center" wrapText="1"/>
    </xf>
    <xf numFmtId="165" fontId="34" fillId="8" borderId="0" xfId="0" applyNumberFormat="1" applyFont="1" applyFill="1"/>
    <xf numFmtId="0" fontId="0" fillId="8" borderId="0" xfId="0" applyFill="1" applyAlignment="1">
      <alignment horizontal="right"/>
    </xf>
    <xf numFmtId="0" fontId="37" fillId="8" borderId="0" xfId="0" applyFont="1" applyFill="1" applyBorder="1" applyAlignment="1">
      <alignment vertical="center"/>
    </xf>
    <xf numFmtId="2" fontId="37" fillId="8" borderId="0" xfId="0" applyNumberFormat="1" applyFont="1" applyFill="1" applyBorder="1" applyAlignment="1">
      <alignment horizontal="right" vertical="center"/>
    </xf>
    <xf numFmtId="0" fontId="43" fillId="8" borderId="0" xfId="0" applyFont="1" applyFill="1" applyAlignment="1">
      <alignment vertical="center"/>
    </xf>
    <xf numFmtId="2" fontId="38" fillId="8" borderId="0" xfId="0" applyNumberFormat="1" applyFont="1" applyFill="1" applyBorder="1" applyAlignment="1">
      <alignment horizontal="right" vertical="center"/>
    </xf>
    <xf numFmtId="4" fontId="0" fillId="8" borderId="0" xfId="0" applyNumberFormat="1" applyFill="1"/>
    <xf numFmtId="10" fontId="35" fillId="8" borderId="0" xfId="9" applyNumberFormat="1" applyFont="1" applyFill="1" applyBorder="1"/>
    <xf numFmtId="3" fontId="35" fillId="8" borderId="0" xfId="0" applyNumberFormat="1" applyFont="1" applyFill="1" applyBorder="1" applyAlignment="1">
      <alignment horizontal="right" vertical="center"/>
    </xf>
    <xf numFmtId="10" fontId="32" fillId="8" borderId="0" xfId="9" applyNumberFormat="1" applyFont="1" applyFill="1" applyBorder="1"/>
    <xf numFmtId="0" fontId="35" fillId="8" borderId="0" xfId="0" applyFont="1" applyFill="1" applyAlignment="1">
      <alignment horizontal="left" vertical="center"/>
    </xf>
    <xf numFmtId="0" fontId="34" fillId="8" borderId="0" xfId="0" applyFont="1" applyFill="1" applyAlignment="1">
      <alignment horizontal="justify" vertical="center"/>
    </xf>
    <xf numFmtId="0" fontId="34" fillId="8" borderId="0" xfId="0" applyFont="1" applyFill="1" applyAlignment="1">
      <alignment horizontal="justify" vertical="center" wrapText="1"/>
    </xf>
    <xf numFmtId="0" fontId="35" fillId="8" borderId="0" xfId="0" applyFont="1" applyFill="1" applyBorder="1" applyAlignment="1">
      <alignment horizontal="center" vertical="center" wrapText="1"/>
    </xf>
    <xf numFmtId="0" fontId="35" fillId="8" borderId="0" xfId="0" applyFont="1" applyFill="1" applyAlignment="1">
      <alignment horizontal="center" vertical="center" wrapText="1"/>
    </xf>
    <xf numFmtId="0" fontId="34" fillId="8" borderId="1" xfId="0" applyFont="1" applyFill="1" applyBorder="1" applyAlignment="1">
      <alignment horizontal="justify" vertical="center" wrapText="1"/>
    </xf>
    <xf numFmtId="0" fontId="35" fillId="8" borderId="1" xfId="0" applyFont="1" applyFill="1" applyBorder="1" applyAlignment="1">
      <alignment horizontal="center" vertical="center" wrapText="1"/>
    </xf>
    <xf numFmtId="0" fontId="35" fillId="8" borderId="2" xfId="0" applyFont="1" applyFill="1" applyBorder="1" applyAlignment="1">
      <alignment horizontal="center" vertical="center" wrapText="1"/>
    </xf>
    <xf numFmtId="0" fontId="35" fillId="8" borderId="1" xfId="0" applyFont="1" applyFill="1" applyBorder="1" applyAlignment="1">
      <alignment horizontal="justify" vertical="center" wrapText="1"/>
    </xf>
    <xf numFmtId="0" fontId="35" fillId="8" borderId="1" xfId="0" applyFont="1" applyFill="1" applyBorder="1" applyAlignment="1">
      <alignment horizontal="center"/>
    </xf>
    <xf numFmtId="0" fontId="34" fillId="8" borderId="0" xfId="0" applyFont="1" applyFill="1" applyAlignment="1">
      <alignment horizontal="right"/>
    </xf>
    <xf numFmtId="9" fontId="34" fillId="8" borderId="0" xfId="9" applyFont="1" applyFill="1" applyAlignment="1">
      <alignment horizontal="right"/>
    </xf>
    <xf numFmtId="0" fontId="34" fillId="8" borderId="0" xfId="0" applyFont="1" applyFill="1" applyAlignment="1">
      <alignment horizontal="right" vertical="center" wrapText="1"/>
    </xf>
    <xf numFmtId="0" fontId="34" fillId="8" borderId="1" xfId="0" applyFont="1" applyFill="1" applyBorder="1" applyAlignment="1">
      <alignment horizontal="right" vertical="center" wrapText="1"/>
    </xf>
    <xf numFmtId="9" fontId="34" fillId="8" borderId="1" xfId="9" applyFont="1" applyFill="1" applyBorder="1" applyAlignment="1">
      <alignment horizontal="right"/>
    </xf>
    <xf numFmtId="0" fontId="34" fillId="8" borderId="1" xfId="0" applyFont="1" applyFill="1" applyBorder="1" applyAlignment="1">
      <alignment horizontal="right"/>
    </xf>
    <xf numFmtId="9" fontId="35" fillId="8" borderId="2" xfId="9" applyFont="1" applyFill="1" applyBorder="1" applyAlignment="1">
      <alignment horizontal="right"/>
    </xf>
    <xf numFmtId="0" fontId="35" fillId="8" borderId="0" xfId="0" applyFont="1" applyFill="1" applyAlignment="1">
      <alignment horizontal="center"/>
    </xf>
    <xf numFmtId="14" fontId="35" fillId="8" borderId="2" xfId="0" applyNumberFormat="1" applyFont="1" applyFill="1" applyBorder="1" applyAlignment="1">
      <alignment horizontal="center" vertical="center" wrapText="1"/>
    </xf>
    <xf numFmtId="14" fontId="35" fillId="8" borderId="1" xfId="0" applyNumberFormat="1" applyFont="1" applyFill="1" applyBorder="1" applyAlignment="1">
      <alignment horizontal="center" vertical="center" wrapText="1"/>
    </xf>
    <xf numFmtId="14" fontId="35" fillId="8" borderId="0" xfId="0" applyNumberFormat="1" applyFont="1" applyFill="1" applyBorder="1" applyAlignment="1">
      <alignment horizontal="center" vertical="center" wrapText="1"/>
    </xf>
    <xf numFmtId="3" fontId="35" fillId="8" borderId="1" xfId="0" applyNumberFormat="1" applyFont="1" applyFill="1" applyBorder="1" applyAlignment="1">
      <alignment horizontal="right" vertical="center" wrapText="1"/>
    </xf>
    <xf numFmtId="9" fontId="35" fillId="8" borderId="1" xfId="9" applyFont="1" applyFill="1" applyBorder="1" applyAlignment="1">
      <alignment horizontal="right"/>
    </xf>
    <xf numFmtId="0" fontId="35" fillId="8" borderId="1" xfId="0" applyFont="1" applyFill="1" applyBorder="1" applyAlignment="1">
      <alignment horizontal="right" vertical="center" wrapText="1"/>
    </xf>
    <xf numFmtId="0" fontId="35" fillId="8" borderId="1" xfId="0" applyFont="1" applyFill="1" applyBorder="1" applyAlignment="1">
      <alignment horizontal="right"/>
    </xf>
    <xf numFmtId="0" fontId="35" fillId="8" borderId="0" xfId="0" applyFont="1" applyFill="1" applyAlignment="1">
      <alignment horizontal="justify" vertical="center"/>
    </xf>
    <xf numFmtId="0" fontId="35" fillId="8" borderId="0" xfId="0" applyFont="1" applyFill="1" applyAlignment="1">
      <alignment horizontal="justify" vertical="center" wrapText="1"/>
    </xf>
    <xf numFmtId="0" fontId="36" fillId="8" borderId="0" xfId="0" applyFont="1" applyFill="1" applyAlignment="1">
      <alignment vertical="center"/>
    </xf>
    <xf numFmtId="0" fontId="34" fillId="8" borderId="0" xfId="0" applyFont="1" applyFill="1" applyAlignment="1">
      <alignment horizontal="left" vertical="center" wrapText="1"/>
    </xf>
    <xf numFmtId="0" fontId="34" fillId="8" borderId="1" xfId="0" applyFont="1" applyFill="1" applyBorder="1" applyAlignment="1">
      <alignment horizontal="left" vertical="center" wrapText="1"/>
    </xf>
    <xf numFmtId="0" fontId="34" fillId="8" borderId="0" xfId="0" applyFont="1" applyFill="1" applyBorder="1" applyAlignment="1">
      <alignment horizontal="right" vertical="center" wrapText="1"/>
    </xf>
    <xf numFmtId="165" fontId="34" fillId="8" borderId="0" xfId="9" applyNumberFormat="1" applyFont="1" applyFill="1"/>
    <xf numFmtId="0" fontId="35" fillId="8" borderId="1" xfId="0" applyFont="1" applyFill="1" applyBorder="1" applyAlignment="1">
      <alignment horizontal="left" vertical="center" wrapText="1"/>
    </xf>
    <xf numFmtId="0" fontId="34" fillId="8" borderId="0" xfId="0" applyFont="1" applyFill="1" applyAlignment="1">
      <alignment horizontal="left"/>
    </xf>
    <xf numFmtId="3" fontId="34" fillId="8" borderId="0" xfId="0" applyNumberFormat="1" applyFont="1" applyFill="1"/>
    <xf numFmtId="0" fontId="34" fillId="8" borderId="0" xfId="0" applyFont="1" applyFill="1" applyBorder="1" applyAlignment="1">
      <alignment horizontal="justify" vertical="center" wrapText="1"/>
    </xf>
    <xf numFmtId="0" fontId="35" fillId="8" borderId="0" xfId="0" applyFont="1" applyFill="1" applyBorder="1" applyAlignment="1">
      <alignment horizontal="justify" vertical="center" wrapText="1"/>
    </xf>
    <xf numFmtId="0" fontId="35" fillId="8" borderId="0" xfId="0" applyFont="1" applyFill="1" applyBorder="1" applyAlignment="1">
      <alignment horizontal="center"/>
    </xf>
    <xf numFmtId="0" fontId="34" fillId="8" borderId="0" xfId="0" applyFont="1" applyFill="1" applyBorder="1" applyAlignment="1">
      <alignment horizontal="right"/>
    </xf>
    <xf numFmtId="9" fontId="34" fillId="8" borderId="0" xfId="9" applyFont="1" applyFill="1" applyBorder="1" applyAlignment="1">
      <alignment horizontal="right"/>
    </xf>
    <xf numFmtId="9" fontId="35" fillId="8" borderId="0" xfId="9" applyFont="1" applyFill="1" applyBorder="1" applyAlignment="1">
      <alignment horizontal="right"/>
    </xf>
    <xf numFmtId="0" fontId="2" fillId="8" borderId="0" xfId="3" applyFont="1" applyFill="1" applyBorder="1"/>
    <xf numFmtId="0" fontId="3" fillId="8" borderId="0" xfId="3" applyFont="1" applyFill="1" applyBorder="1" applyAlignment="1">
      <alignment horizontal="center"/>
    </xf>
    <xf numFmtId="0" fontId="3" fillId="8" borderId="0" xfId="3" applyFont="1" applyFill="1" applyBorder="1"/>
    <xf numFmtId="3" fontId="3" fillId="8" borderId="0" xfId="3" applyNumberFormat="1" applyFont="1" applyFill="1" applyBorder="1" applyAlignment="1">
      <alignment horizontal="right"/>
    </xf>
    <xf numFmtId="3" fontId="2" fillId="8" borderId="0" xfId="3" applyNumberFormat="1" applyFont="1" applyFill="1" applyBorder="1"/>
    <xf numFmtId="0" fontId="2" fillId="8" borderId="0" xfId="3" applyFont="1" applyFill="1"/>
    <xf numFmtId="3" fontId="2" fillId="8" borderId="0" xfId="3" applyNumberFormat="1" applyFont="1" applyFill="1"/>
    <xf numFmtId="9" fontId="32" fillId="8" borderId="0" xfId="9" applyFont="1" applyFill="1"/>
    <xf numFmtId="164" fontId="0" fillId="8" borderId="0" xfId="0" applyNumberFormat="1" applyFill="1"/>
    <xf numFmtId="0" fontId="46" fillId="11" borderId="0" xfId="3" applyFont="1" applyFill="1" applyBorder="1" applyAlignment="1">
      <alignment horizontal="center" wrapText="1"/>
    </xf>
    <xf numFmtId="0" fontId="3" fillId="10" borderId="0" xfId="3" applyFont="1" applyFill="1" applyBorder="1"/>
    <xf numFmtId="0" fontId="3" fillId="10" borderId="0" xfId="6" applyFont="1" applyFill="1" applyBorder="1"/>
    <xf numFmtId="0" fontId="50" fillId="10" borderId="0" xfId="6" applyFont="1" applyFill="1" applyBorder="1"/>
    <xf numFmtId="0" fontId="49" fillId="8" borderId="0" xfId="6" applyFont="1" applyFill="1"/>
    <xf numFmtId="0" fontId="3" fillId="8" borderId="0" xfId="6" applyFont="1" applyFill="1" applyAlignment="1"/>
    <xf numFmtId="0" fontId="18" fillId="8" borderId="0" xfId="0" applyFont="1" applyFill="1" applyAlignment="1"/>
    <xf numFmtId="0" fontId="3" fillId="8" borderId="0" xfId="6" applyFont="1" applyFill="1" applyBorder="1"/>
    <xf numFmtId="174" fontId="3" fillId="8" borderId="0" xfId="6" applyNumberFormat="1" applyFont="1" applyFill="1" applyBorder="1" applyAlignment="1">
      <alignment horizontal="center" wrapText="1"/>
    </xf>
    <xf numFmtId="0" fontId="3" fillId="8" borderId="0" xfId="6" applyFont="1" applyFill="1" applyBorder="1" applyAlignment="1">
      <alignment horizontal="center"/>
    </xf>
    <xf numFmtId="0" fontId="2" fillId="8" borderId="0" xfId="6" applyFont="1" applyFill="1" applyBorder="1"/>
    <xf numFmtId="0" fontId="49" fillId="8" borderId="0" xfId="6" applyFont="1" applyFill="1" applyBorder="1"/>
    <xf numFmtId="0" fontId="2" fillId="8" borderId="0" xfId="6" applyFont="1" applyFill="1" applyBorder="1" applyAlignment="1">
      <alignment horizontal="left" indent="2"/>
    </xf>
    <xf numFmtId="165" fontId="49" fillId="8" borderId="0" xfId="9" applyNumberFormat="1" applyFont="1" applyFill="1"/>
    <xf numFmtId="0" fontId="46" fillId="9" borderId="0" xfId="6" applyFont="1" applyFill="1" applyBorder="1" applyAlignment="1">
      <alignment horizontal="center" vertical="center" wrapText="1"/>
    </xf>
    <xf numFmtId="174" fontId="46" fillId="9" borderId="0" xfId="6" applyNumberFormat="1" applyFont="1" applyFill="1" applyBorder="1" applyAlignment="1">
      <alignment horizontal="center" vertical="center" wrapText="1"/>
    </xf>
    <xf numFmtId="0" fontId="3" fillId="10" borderId="0" xfId="0" applyFont="1" applyFill="1" applyBorder="1" applyAlignment="1">
      <alignment horizontal="left" vertical="center" wrapText="1"/>
    </xf>
    <xf numFmtId="0" fontId="52" fillId="10" borderId="0" xfId="0" applyFont="1" applyFill="1" applyBorder="1"/>
    <xf numFmtId="0" fontId="18" fillId="8" borderId="0" xfId="0" applyFont="1" applyFill="1"/>
    <xf numFmtId="0" fontId="51" fillId="8" borderId="0" xfId="0" applyFont="1" applyFill="1" applyBorder="1"/>
    <xf numFmtId="0" fontId="51" fillId="8" borderId="0" xfId="0" applyFont="1" applyFill="1" applyBorder="1" applyAlignment="1">
      <alignment wrapText="1"/>
    </xf>
    <xf numFmtId="0" fontId="18" fillId="8" borderId="0" xfId="0" applyFont="1" applyFill="1" applyBorder="1"/>
    <xf numFmtId="0" fontId="3" fillId="8" borderId="0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/>
    </xf>
    <xf numFmtId="0" fontId="50" fillId="8" borderId="0" xfId="0" applyFont="1" applyFill="1" applyBorder="1" applyAlignment="1">
      <alignment horizontal="left" vertical="center" wrapText="1"/>
    </xf>
    <xf numFmtId="0" fontId="3" fillId="8" borderId="0" xfId="0" applyFont="1" applyFill="1" applyBorder="1" applyAlignment="1">
      <alignment horizontal="left" vertical="center" wrapText="1"/>
    </xf>
    <xf numFmtId="0" fontId="51" fillId="8" borderId="0" xfId="0" applyFont="1" applyFill="1" applyBorder="1" applyAlignment="1">
      <alignment horizontal="right" wrapText="1"/>
    </xf>
    <xf numFmtId="3" fontId="18" fillId="8" borderId="0" xfId="0" applyNumberFormat="1" applyFont="1" applyFill="1"/>
    <xf numFmtId="0" fontId="2" fillId="8" borderId="0" xfId="0" applyFont="1" applyFill="1" applyBorder="1" applyAlignment="1">
      <alignment horizontal="left" vertical="center" wrapText="1"/>
    </xf>
    <xf numFmtId="3" fontId="18" fillId="8" borderId="0" xfId="0" applyNumberFormat="1" applyFont="1" applyFill="1" applyBorder="1" applyAlignment="1">
      <alignment horizontal="right"/>
    </xf>
    <xf numFmtId="3" fontId="2" fillId="8" borderId="0" xfId="0" applyNumberFormat="1" applyFont="1" applyFill="1" applyBorder="1" applyAlignment="1">
      <alignment horizontal="right" vertical="center" wrapText="1"/>
    </xf>
    <xf numFmtId="0" fontId="51" fillId="8" borderId="0" xfId="0" applyFont="1" applyFill="1" applyBorder="1" applyAlignment="1">
      <alignment vertical="top" wrapText="1"/>
    </xf>
    <xf numFmtId="3" fontId="18" fillId="8" borderId="0" xfId="0" applyNumberFormat="1" applyFont="1" applyFill="1" applyBorder="1"/>
    <xf numFmtId="3" fontId="51" fillId="8" borderId="0" xfId="0" applyNumberFormat="1" applyFont="1" applyFill="1" applyBorder="1" applyAlignment="1">
      <alignment horizontal="right" vertical="top" wrapText="1"/>
    </xf>
    <xf numFmtId="0" fontId="3" fillId="8" borderId="0" xfId="0" applyFont="1" applyFill="1"/>
    <xf numFmtId="3" fontId="2" fillId="8" borderId="0" xfId="0" applyNumberFormat="1" applyFont="1" applyFill="1" applyBorder="1" applyAlignment="1">
      <alignment horizontal="right"/>
    </xf>
    <xf numFmtId="2" fontId="3" fillId="8" borderId="0" xfId="0" applyNumberFormat="1" applyFont="1" applyFill="1"/>
    <xf numFmtId="4" fontId="51" fillId="8" borderId="0" xfId="0" applyNumberFormat="1" applyFont="1" applyFill="1" applyBorder="1" applyAlignment="1">
      <alignment vertical="top" wrapText="1"/>
    </xf>
    <xf numFmtId="4" fontId="18" fillId="8" borderId="0" xfId="0" applyNumberFormat="1" applyFont="1" applyFill="1" applyBorder="1"/>
    <xf numFmtId="0" fontId="18" fillId="8" borderId="0" xfId="0" applyFont="1" applyFill="1" applyAlignment="1">
      <alignment horizontal="center"/>
    </xf>
    <xf numFmtId="0" fontId="18" fillId="8" borderId="0" xfId="0" applyFont="1" applyFill="1" applyAlignment="1">
      <alignment horizontal="center" wrapText="1"/>
    </xf>
    <xf numFmtId="3" fontId="14" fillId="8" borderId="0" xfId="0" applyNumberFormat="1" applyFont="1" applyFill="1"/>
    <xf numFmtId="2" fontId="18" fillId="8" borderId="0" xfId="0" applyNumberFormat="1" applyFont="1" applyFill="1"/>
    <xf numFmtId="0" fontId="14" fillId="8" borderId="0" xfId="0" applyFont="1" applyFill="1"/>
    <xf numFmtId="0" fontId="18" fillId="8" borderId="0" xfId="0" applyFont="1" applyFill="1" applyAlignment="1">
      <alignment horizontal="left" indent="1"/>
    </xf>
    <xf numFmtId="3" fontId="9" fillId="8" borderId="0" xfId="0" applyNumberFormat="1" applyFont="1" applyFill="1"/>
    <xf numFmtId="0" fontId="53" fillId="8" borderId="0" xfId="0" applyFont="1" applyFill="1" applyAlignment="1">
      <alignment horizontal="center"/>
    </xf>
    <xf numFmtId="0" fontId="53" fillId="8" borderId="0" xfId="0" applyFont="1" applyFill="1" applyBorder="1" applyAlignment="1">
      <alignment horizontal="center" wrapText="1"/>
    </xf>
    <xf numFmtId="0" fontId="53" fillId="8" borderId="0" xfId="0" applyFont="1" applyFill="1" applyBorder="1" applyAlignment="1">
      <alignment horizontal="center"/>
    </xf>
    <xf numFmtId="0" fontId="53" fillId="8" borderId="0" xfId="0" applyFont="1" applyFill="1" applyBorder="1"/>
    <xf numFmtId="3" fontId="53" fillId="8" borderId="0" xfId="0" applyNumberFormat="1" applyFont="1" applyFill="1" applyBorder="1"/>
    <xf numFmtId="3" fontId="53" fillId="8" borderId="0" xfId="0" applyNumberFormat="1" applyFont="1" applyFill="1" applyBorder="1" applyAlignment="1">
      <alignment horizontal="right" readingOrder="2"/>
    </xf>
    <xf numFmtId="175" fontId="18" fillId="8" borderId="0" xfId="0" applyNumberFormat="1" applyFont="1" applyFill="1" applyBorder="1"/>
    <xf numFmtId="2" fontId="18" fillId="8" borderId="0" xfId="0" applyNumberFormat="1" applyFont="1" applyFill="1" applyBorder="1"/>
    <xf numFmtId="4" fontId="18" fillId="8" borderId="0" xfId="0" applyNumberFormat="1" applyFont="1" applyFill="1" applyBorder="1" applyAlignment="1">
      <alignment horizontal="right"/>
    </xf>
    <xf numFmtId="4" fontId="18" fillId="8" borderId="0" xfId="0" applyNumberFormat="1" applyFont="1" applyFill="1" applyBorder="1" applyAlignment="1">
      <alignment horizontal="right" readingOrder="2"/>
    </xf>
    <xf numFmtId="3" fontId="18" fillId="8" borderId="0" xfId="9" applyNumberFormat="1" applyFont="1" applyFill="1" applyBorder="1"/>
    <xf numFmtId="165" fontId="18" fillId="8" borderId="0" xfId="9" applyNumberFormat="1" applyFont="1" applyFill="1" applyBorder="1"/>
    <xf numFmtId="0" fontId="53" fillId="8" borderId="0" xfId="0" applyFont="1" applyFill="1"/>
    <xf numFmtId="165" fontId="53" fillId="8" borderId="0" xfId="9" applyNumberFormat="1" applyFont="1" applyFill="1" applyBorder="1"/>
    <xf numFmtId="9" fontId="18" fillId="8" borderId="0" xfId="9" applyFont="1" applyFill="1"/>
    <xf numFmtId="0" fontId="48" fillId="9" borderId="0" xfId="0" applyFont="1" applyFill="1" applyBorder="1" applyAlignment="1">
      <alignment horizontal="center" wrapText="1"/>
    </xf>
    <xf numFmtId="0" fontId="53" fillId="10" borderId="0" xfId="0" applyFont="1" applyFill="1" applyBorder="1"/>
    <xf numFmtId="3" fontId="53" fillId="10" borderId="0" xfId="0" applyNumberFormat="1" applyFont="1" applyFill="1" applyBorder="1"/>
    <xf numFmtId="3" fontId="53" fillId="10" borderId="0" xfId="0" applyNumberFormat="1" applyFont="1" applyFill="1" applyBorder="1" applyAlignment="1">
      <alignment horizontal="right"/>
    </xf>
    <xf numFmtId="3" fontId="53" fillId="10" borderId="0" xfId="0" applyNumberFormat="1" applyFont="1" applyFill="1" applyBorder="1" applyAlignment="1">
      <alignment horizontal="right" readingOrder="2"/>
    </xf>
    <xf numFmtId="3" fontId="52" fillId="10" borderId="0" xfId="0" applyNumberFormat="1" applyFont="1" applyFill="1" applyBorder="1"/>
    <xf numFmtId="3" fontId="52" fillId="10" borderId="0" xfId="0" applyNumberFormat="1" applyFont="1" applyFill="1" applyBorder="1" applyAlignment="1">
      <alignment horizontal="right" readingOrder="2"/>
    </xf>
    <xf numFmtId="0" fontId="11" fillId="8" borderId="0" xfId="0" applyFont="1" applyFill="1"/>
    <xf numFmtId="0" fontId="4" fillId="8" borderId="0" xfId="0" applyFont="1" applyFill="1"/>
    <xf numFmtId="0" fontId="4" fillId="8" borderId="0" xfId="0" applyFont="1" applyFill="1" applyBorder="1"/>
    <xf numFmtId="3" fontId="4" fillId="8" borderId="0" xfId="0" applyNumberFormat="1" applyFont="1" applyFill="1" applyBorder="1"/>
    <xf numFmtId="4" fontId="4" fillId="8" borderId="0" xfId="0" applyNumberFormat="1" applyFont="1" applyFill="1"/>
    <xf numFmtId="4" fontId="11" fillId="8" borderId="0" xfId="0" applyNumberFormat="1" applyFont="1" applyFill="1"/>
    <xf numFmtId="174" fontId="4" fillId="8" borderId="0" xfId="0" applyNumberFormat="1" applyFont="1" applyFill="1" applyBorder="1" applyAlignment="1">
      <alignment horizontal="center" wrapText="1"/>
    </xf>
    <xf numFmtId="0" fontId="11" fillId="8" borderId="0" xfId="0" applyFont="1" applyFill="1" applyBorder="1"/>
    <xf numFmtId="2" fontId="4" fillId="8" borderId="0" xfId="0" applyNumberFormat="1" applyFont="1" applyFill="1" applyBorder="1"/>
    <xf numFmtId="3" fontId="11" fillId="8" borderId="0" xfId="0" applyNumberFormat="1" applyFont="1" applyFill="1" applyBorder="1"/>
    <xf numFmtId="2" fontId="11" fillId="8" borderId="0" xfId="0" applyNumberFormat="1" applyFont="1" applyFill="1" applyBorder="1"/>
    <xf numFmtId="0" fontId="4" fillId="8" borderId="0" xfId="0" applyFont="1" applyFill="1" applyBorder="1" applyAlignment="1">
      <alignment horizontal="center"/>
    </xf>
    <xf numFmtId="174" fontId="46" fillId="9" borderId="0" xfId="0" applyNumberFormat="1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justify" wrapText="1" shrinkToFit="1"/>
    </xf>
    <xf numFmtId="0" fontId="11" fillId="8" borderId="0" xfId="0" applyFont="1" applyFill="1" applyBorder="1" applyAlignment="1">
      <alignment horizontal="center"/>
    </xf>
    <xf numFmtId="0" fontId="4" fillId="10" borderId="0" xfId="0" applyFont="1" applyFill="1" applyBorder="1"/>
    <xf numFmtId="1" fontId="34" fillId="8" borderId="0" xfId="0" applyNumberFormat="1" applyFont="1" applyFill="1" applyBorder="1" applyAlignment="1">
      <alignment horizontal="right" vertical="center" wrapText="1"/>
    </xf>
    <xf numFmtId="2" fontId="0" fillId="8" borderId="0" xfId="0" applyNumberFormat="1" applyFill="1" applyBorder="1"/>
    <xf numFmtId="164" fontId="0" fillId="8" borderId="0" xfId="0" applyNumberFormat="1" applyFill="1" applyBorder="1"/>
    <xf numFmtId="4" fontId="0" fillId="8" borderId="0" xfId="0" applyNumberFormat="1" applyFill="1" applyBorder="1"/>
    <xf numFmtId="170" fontId="0" fillId="8" borderId="0" xfId="0" applyNumberFormat="1" applyFill="1" applyBorder="1"/>
    <xf numFmtId="165" fontId="32" fillId="8" borderId="0" xfId="9" applyNumberFormat="1" applyFont="1" applyFill="1" applyBorder="1"/>
    <xf numFmtId="0" fontId="47" fillId="8" borderId="0" xfId="0" applyFont="1" applyFill="1" applyBorder="1" applyAlignment="1">
      <alignment horizontal="center"/>
    </xf>
    <xf numFmtId="0" fontId="35" fillId="8" borderId="0" xfId="0" applyFont="1" applyFill="1" applyBorder="1" applyAlignment="1">
      <alignment horizontal="left" vertical="center" wrapText="1"/>
    </xf>
    <xf numFmtId="0" fontId="34" fillId="8" borderId="0" xfId="0" applyFont="1" applyFill="1" applyBorder="1" applyAlignment="1">
      <alignment horizontal="left" vertical="center" wrapText="1"/>
    </xf>
    <xf numFmtId="0" fontId="34" fillId="8" borderId="0" xfId="0" applyFont="1" applyFill="1" applyBorder="1" applyAlignment="1">
      <alignment horizontal="left" vertical="center" wrapText="1" indent="1"/>
    </xf>
    <xf numFmtId="0" fontId="35" fillId="10" borderId="0" xfId="0" applyFont="1" applyFill="1" applyBorder="1" applyAlignment="1">
      <alignment horizontal="left" vertical="center" wrapText="1"/>
    </xf>
    <xf numFmtId="0" fontId="45" fillId="8" borderId="0" xfId="0" applyFont="1" applyFill="1" applyBorder="1" applyAlignment="1">
      <alignment horizontal="justify" vertical="center"/>
    </xf>
    <xf numFmtId="0" fontId="40" fillId="8" borderId="0" xfId="0" applyFont="1" applyFill="1" applyBorder="1" applyAlignment="1">
      <alignment horizontal="justify" vertical="center"/>
    </xf>
    <xf numFmtId="0" fontId="34" fillId="8" borderId="0" xfId="0" applyFont="1" applyFill="1" applyBorder="1" applyAlignment="1">
      <alignment horizontal="justify" vertical="center"/>
    </xf>
    <xf numFmtId="0" fontId="56" fillId="8" borderId="0" xfId="0" applyFont="1" applyFill="1" applyBorder="1" applyAlignment="1">
      <alignment horizontal="justify" vertical="center"/>
    </xf>
    <xf numFmtId="0" fontId="46" fillId="9" borderId="0" xfId="0" applyFont="1" applyFill="1" applyBorder="1" applyAlignment="1">
      <alignment horizontal="center" vertical="center"/>
    </xf>
    <xf numFmtId="0" fontId="46" fillId="9" borderId="0" xfId="0" applyFont="1" applyFill="1" applyBorder="1" applyAlignment="1">
      <alignment horizontal="center" vertical="center" wrapText="1"/>
    </xf>
    <xf numFmtId="0" fontId="50" fillId="10" borderId="0" xfId="0" applyFont="1" applyFill="1" applyBorder="1" applyAlignment="1">
      <alignment horizontal="left" vertical="center" wrapText="1"/>
    </xf>
    <xf numFmtId="174" fontId="46" fillId="8" borderId="0" xfId="6" applyNumberFormat="1" applyFont="1" applyFill="1" applyBorder="1" applyAlignment="1">
      <alignment horizontal="center" vertical="center" wrapText="1"/>
    </xf>
    <xf numFmtId="0" fontId="49" fillId="8" borderId="0" xfId="6" applyFont="1" applyFill="1" applyAlignment="1"/>
    <xf numFmtId="3" fontId="53" fillId="8" borderId="0" xfId="0" applyNumberFormat="1" applyFont="1" applyFill="1" applyBorder="1" applyAlignment="1">
      <alignment horizontal="center" wrapText="1"/>
    </xf>
    <xf numFmtId="3" fontId="52" fillId="8" borderId="0" xfId="9" applyNumberFormat="1" applyFont="1" applyFill="1" applyBorder="1"/>
    <xf numFmtId="3" fontId="53" fillId="8" borderId="0" xfId="0" applyNumberFormat="1" applyFont="1" applyFill="1" applyBorder="1" applyAlignment="1">
      <alignment horizontal="center"/>
    </xf>
    <xf numFmtId="174" fontId="46" fillId="8" borderId="0" xfId="0" applyNumberFormat="1" applyFont="1" applyFill="1" applyBorder="1" applyAlignment="1">
      <alignment horizontal="center" vertical="center" wrapText="1"/>
    </xf>
    <xf numFmtId="0" fontId="53" fillId="8" borderId="0" xfId="0" applyFont="1" applyFill="1" applyBorder="1" applyAlignment="1">
      <alignment horizontal="center" vertical="center"/>
    </xf>
    <xf numFmtId="0" fontId="2" fillId="8" borderId="0" xfId="0" applyFont="1" applyFill="1" applyBorder="1"/>
    <xf numFmtId="0" fontId="58" fillId="10" borderId="0" xfId="0" applyFont="1" applyFill="1" applyBorder="1" applyAlignment="1">
      <alignment vertical="center"/>
    </xf>
    <xf numFmtId="165" fontId="50" fillId="10" borderId="0" xfId="9" applyNumberFormat="1" applyFont="1" applyFill="1" applyAlignment="1">
      <alignment horizontal="right"/>
    </xf>
    <xf numFmtId="3" fontId="18" fillId="8" borderId="0" xfId="0" applyNumberFormat="1" applyFont="1" applyFill="1" applyBorder="1" applyAlignment="1"/>
    <xf numFmtId="3" fontId="2" fillId="8" borderId="0" xfId="0" applyNumberFormat="1" applyFont="1" applyFill="1" applyBorder="1" applyAlignment="1">
      <alignment vertical="center" wrapText="1"/>
    </xf>
    <xf numFmtId="0" fontId="18" fillId="8" borderId="0" xfId="0" applyFont="1" applyFill="1" applyBorder="1" applyAlignment="1"/>
    <xf numFmtId="3" fontId="51" fillId="8" borderId="0" xfId="0" applyNumberFormat="1" applyFont="1" applyFill="1" applyBorder="1" applyAlignment="1">
      <alignment vertical="top" wrapText="1"/>
    </xf>
    <xf numFmtId="171" fontId="18" fillId="8" borderId="0" xfId="0" applyNumberFormat="1" applyFont="1" applyFill="1" applyBorder="1" applyAlignment="1"/>
    <xf numFmtId="3" fontId="3" fillId="1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3" fontId="3" fillId="10" borderId="0" xfId="0" applyNumberFormat="1" applyFont="1" applyFill="1" applyBorder="1" applyAlignment="1"/>
    <xf numFmtId="0" fontId="3" fillId="8" borderId="0" xfId="0" applyFont="1" applyFill="1" applyBorder="1" applyAlignment="1"/>
    <xf numFmtId="3" fontId="2" fillId="8" borderId="0" xfId="6" applyNumberFormat="1" applyFont="1" applyFill="1" applyBorder="1" applyAlignment="1"/>
    <xf numFmtId="0" fontId="3" fillId="8" borderId="0" xfId="0" applyFont="1" applyFill="1" applyBorder="1" applyAlignment="1">
      <alignment vertical="center" wrapText="1"/>
    </xf>
    <xf numFmtId="3" fontId="2" fillId="8" borderId="0" xfId="0" applyNumberFormat="1" applyFont="1" applyFill="1" applyBorder="1" applyAlignment="1"/>
    <xf numFmtId="3" fontId="50" fillId="10" borderId="0" xfId="0" applyNumberFormat="1" applyFont="1" applyFill="1" applyBorder="1" applyAlignment="1">
      <alignment vertical="center" wrapText="1"/>
    </xf>
    <xf numFmtId="3" fontId="50" fillId="0" borderId="0" xfId="0" applyNumberFormat="1" applyFont="1" applyFill="1" applyBorder="1" applyAlignment="1">
      <alignment vertical="center" wrapText="1"/>
    </xf>
    <xf numFmtId="0" fontId="50" fillId="8" borderId="0" xfId="0" applyFont="1" applyFill="1" applyBorder="1" applyAlignment="1"/>
    <xf numFmtId="4" fontId="18" fillId="8" borderId="0" xfId="0" applyNumberFormat="1" applyFont="1" applyFill="1" applyBorder="1" applyAlignment="1"/>
    <xf numFmtId="4" fontId="2" fillId="8" borderId="0" xfId="0" applyNumberFormat="1" applyFont="1" applyFill="1" applyBorder="1" applyAlignment="1">
      <alignment vertical="center" wrapText="1"/>
    </xf>
    <xf numFmtId="4" fontId="3" fillId="8" borderId="0" xfId="0" applyNumberFormat="1" applyFont="1" applyFill="1" applyBorder="1" applyAlignment="1"/>
    <xf numFmtId="165" fontId="50" fillId="10" borderId="0" xfId="9" applyNumberFormat="1" applyFont="1" applyFill="1" applyAlignment="1"/>
    <xf numFmtId="165" fontId="50" fillId="8" borderId="0" xfId="9" applyNumberFormat="1" applyFont="1" applyFill="1" applyAlignment="1"/>
    <xf numFmtId="0" fontId="3" fillId="8" borderId="0" xfId="0" applyFont="1" applyFill="1" applyBorder="1" applyAlignment="1">
      <alignment horizontal="right" vertical="center" wrapText="1"/>
    </xf>
    <xf numFmtId="0" fontId="51" fillId="8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center" wrapText="1"/>
    </xf>
    <xf numFmtId="0" fontId="50" fillId="0" borderId="0" xfId="0" applyFont="1" applyFill="1" applyBorder="1" applyAlignment="1">
      <alignment horizontal="right" vertical="center" wrapText="1"/>
    </xf>
    <xf numFmtId="4" fontId="51" fillId="8" borderId="0" xfId="0" applyNumberFormat="1" applyFont="1" applyFill="1" applyBorder="1" applyAlignment="1">
      <alignment horizontal="right" vertical="top" wrapText="1"/>
    </xf>
    <xf numFmtId="4" fontId="2" fillId="8" borderId="0" xfId="0" applyNumberFormat="1" applyFont="1" applyFill="1" applyBorder="1" applyAlignment="1">
      <alignment horizontal="right" vertical="center" wrapText="1"/>
    </xf>
    <xf numFmtId="0" fontId="18" fillId="8" borderId="0" xfId="0" applyFont="1" applyFill="1" applyAlignment="1">
      <alignment horizontal="right"/>
    </xf>
    <xf numFmtId="171" fontId="18" fillId="8" borderId="0" xfId="0" applyNumberFormat="1" applyFont="1" applyFill="1" applyBorder="1" applyAlignment="1">
      <alignment horizontal="right"/>
    </xf>
    <xf numFmtId="3" fontId="50" fillId="10" borderId="0" xfId="0" applyNumberFormat="1" applyFont="1" applyFill="1" applyBorder="1" applyAlignment="1">
      <alignment horizontal="right"/>
    </xf>
    <xf numFmtId="3" fontId="58" fillId="8" borderId="0" xfId="0" applyNumberFormat="1" applyFont="1" applyFill="1" applyBorder="1" applyAlignment="1">
      <alignment vertical="center"/>
    </xf>
    <xf numFmtId="165" fontId="50" fillId="8" borderId="0" xfId="9" applyNumberFormat="1" applyFont="1" applyFill="1" applyBorder="1"/>
    <xf numFmtId="165" fontId="58" fillId="8" borderId="0" xfId="0" applyNumberFormat="1" applyFont="1" applyFill="1" applyBorder="1" applyAlignment="1">
      <alignment vertical="center"/>
    </xf>
    <xf numFmtId="0" fontId="50" fillId="8" borderId="0" xfId="6" applyFont="1" applyFill="1" applyBorder="1"/>
    <xf numFmtId="0" fontId="52" fillId="8" borderId="0" xfId="0" applyFont="1" applyFill="1" applyBorder="1"/>
    <xf numFmtId="0" fontId="47" fillId="8" borderId="0" xfId="0" applyFont="1" applyFill="1" applyAlignment="1">
      <alignment horizontal="center"/>
    </xf>
    <xf numFmtId="0" fontId="34" fillId="8" borderId="0" xfId="0" applyFont="1" applyFill="1" applyBorder="1" applyAlignment="1">
      <alignment vertical="top"/>
    </xf>
    <xf numFmtId="0" fontId="58" fillId="8" borderId="0" xfId="0" applyFont="1" applyFill="1" applyBorder="1" applyAlignment="1">
      <alignment vertical="center"/>
    </xf>
    <xf numFmtId="0" fontId="13" fillId="8" borderId="0" xfId="0" applyFont="1" applyFill="1" applyBorder="1"/>
    <xf numFmtId="0" fontId="13" fillId="8" borderId="0" xfId="0" applyFont="1" applyFill="1" applyBorder="1" applyAlignment="1">
      <alignment horizontal="left"/>
    </xf>
    <xf numFmtId="0" fontId="2" fillId="8" borderId="0" xfId="0" applyFont="1" applyFill="1" applyBorder="1" applyAlignment="1">
      <alignment horizontal="left"/>
    </xf>
    <xf numFmtId="0" fontId="3" fillId="8" borderId="0" xfId="0" applyFont="1" applyFill="1" applyBorder="1" applyAlignment="1">
      <alignment horizontal="left"/>
    </xf>
    <xf numFmtId="0" fontId="34" fillId="8" borderId="0" xfId="0" applyFont="1" applyFill="1" applyBorder="1" applyAlignment="1"/>
    <xf numFmtId="0" fontId="39" fillId="8" borderId="0" xfId="0" applyFont="1" applyFill="1" applyBorder="1" applyAlignment="1">
      <alignment vertical="center"/>
    </xf>
    <xf numFmtId="0" fontId="59" fillId="10" borderId="0" xfId="0" applyFont="1" applyFill="1" applyBorder="1" applyAlignment="1">
      <alignment vertical="center"/>
    </xf>
    <xf numFmtId="165" fontId="59" fillId="10" borderId="0" xfId="9" applyNumberFormat="1" applyFont="1" applyFill="1" applyBorder="1" applyAlignment="1">
      <alignment vertical="center"/>
    </xf>
    <xf numFmtId="0" fontId="59" fillId="8" borderId="0" xfId="0" applyFont="1" applyFill="1" applyBorder="1" applyAlignment="1">
      <alignment vertical="center"/>
    </xf>
    <xf numFmtId="165" fontId="59" fillId="8" borderId="0" xfId="9" applyNumberFormat="1" applyFont="1" applyFill="1" applyBorder="1" applyAlignment="1">
      <alignment vertical="center"/>
    </xf>
    <xf numFmtId="0" fontId="46" fillId="8" borderId="0" xfId="3" applyFont="1" applyFill="1" applyBorder="1" applyAlignment="1">
      <alignment horizontal="center" wrapText="1"/>
    </xf>
    <xf numFmtId="0" fontId="11" fillId="8" borderId="0" xfId="0" applyFont="1" applyFill="1" applyBorder="1" applyAlignment="1">
      <alignment horizontal="left" indent="1"/>
    </xf>
    <xf numFmtId="0" fontId="2" fillId="8" borderId="0" xfId="6" applyFont="1" applyFill="1" applyBorder="1" applyAlignment="1">
      <alignment horizontal="left" indent="1"/>
    </xf>
    <xf numFmtId="0" fontId="18" fillId="8" borderId="0" xfId="0" applyFont="1" applyFill="1" applyBorder="1" applyAlignment="1">
      <alignment horizontal="left" indent="1"/>
    </xf>
    <xf numFmtId="0" fontId="34" fillId="8" borderId="0" xfId="0" applyFont="1" applyFill="1" applyBorder="1" applyAlignment="1">
      <alignment horizontal="left" vertical="center" indent="1"/>
    </xf>
    <xf numFmtId="0" fontId="40" fillId="8" borderId="0" xfId="0" quotePrefix="1" applyFont="1" applyFill="1" applyBorder="1" applyAlignment="1">
      <alignment horizontal="justify" vertical="center"/>
    </xf>
    <xf numFmtId="0" fontId="59" fillId="10" borderId="0" xfId="0" applyFont="1" applyFill="1" applyBorder="1" applyAlignment="1">
      <alignment horizontal="justify" vertical="center" wrapText="1"/>
    </xf>
    <xf numFmtId="9" fontId="59" fillId="8" borderId="0" xfId="9" applyFont="1" applyFill="1" applyBorder="1" applyAlignment="1">
      <alignment horizontal="right"/>
    </xf>
    <xf numFmtId="0" fontId="59" fillId="10" borderId="0" xfId="0" applyFont="1" applyFill="1" applyBorder="1" applyAlignment="1">
      <alignment horizontal="right" vertical="center" wrapText="1"/>
    </xf>
    <xf numFmtId="9" fontId="59" fillId="10" borderId="0" xfId="9" applyFont="1" applyFill="1" applyBorder="1" applyAlignment="1">
      <alignment horizontal="right"/>
    </xf>
    <xf numFmtId="0" fontId="50" fillId="10" borderId="0" xfId="3" applyFont="1" applyFill="1" applyBorder="1"/>
    <xf numFmtId="0" fontId="50" fillId="8" borderId="0" xfId="3" applyFont="1" applyFill="1" applyBorder="1"/>
    <xf numFmtId="3" fontId="50" fillId="8" borderId="0" xfId="3" applyNumberFormat="1" applyFont="1" applyFill="1" applyBorder="1" applyAlignment="1">
      <alignment horizontal="right"/>
    </xf>
    <xf numFmtId="0" fontId="63" fillId="10" borderId="0" xfId="0" applyFont="1" applyFill="1" applyBorder="1"/>
    <xf numFmtId="0" fontId="63" fillId="8" borderId="0" xfId="0" applyFont="1" applyFill="1" applyBorder="1"/>
    <xf numFmtId="0" fontId="35" fillId="8" borderId="0" xfId="0" applyFont="1" applyFill="1" applyBorder="1" applyAlignment="1">
      <alignment horizontal="center" vertical="center" wrapText="1"/>
    </xf>
    <xf numFmtId="3" fontId="35" fillId="10" borderId="0" xfId="0" applyNumberFormat="1" applyFont="1" applyFill="1" applyBorder="1" applyAlignment="1">
      <alignment horizontal="right" indent="1"/>
    </xf>
    <xf numFmtId="3" fontId="35" fillId="8" borderId="0" xfId="0" applyNumberFormat="1" applyFont="1" applyFill="1" applyBorder="1" applyAlignment="1">
      <alignment horizontal="right" indent="1"/>
    </xf>
    <xf numFmtId="3" fontId="34" fillId="8" borderId="0" xfId="0" applyNumberFormat="1" applyFont="1" applyFill="1" applyBorder="1" applyAlignment="1">
      <alignment horizontal="right" vertical="center" indent="1"/>
    </xf>
    <xf numFmtId="3" fontId="34" fillId="8" borderId="0" xfId="0" applyNumberFormat="1" applyFont="1" applyFill="1" applyBorder="1" applyAlignment="1">
      <alignment horizontal="right" indent="1"/>
    </xf>
    <xf numFmtId="0" fontId="0" fillId="8" borderId="0" xfId="0" applyFill="1" applyBorder="1" applyAlignment="1">
      <alignment horizontal="right" indent="1"/>
    </xf>
    <xf numFmtId="0" fontId="34" fillId="8" borderId="0" xfId="0" applyFont="1" applyFill="1" applyBorder="1" applyAlignment="1">
      <alignment horizontal="right" vertical="center" indent="1"/>
    </xf>
    <xf numFmtId="3" fontId="35" fillId="10" borderId="0" xfId="0" applyNumberFormat="1" applyFont="1" applyFill="1" applyBorder="1" applyAlignment="1">
      <alignment horizontal="right" vertical="center" indent="1"/>
    </xf>
    <xf numFmtId="3" fontId="35" fillId="8" borderId="0" xfId="0" applyNumberFormat="1" applyFont="1" applyFill="1" applyBorder="1" applyAlignment="1">
      <alignment horizontal="right" vertical="center" indent="1"/>
    </xf>
    <xf numFmtId="0" fontId="35" fillId="8" borderId="0" xfId="0" applyFont="1" applyFill="1" applyBorder="1" applyAlignment="1">
      <alignment horizontal="right" indent="1"/>
    </xf>
    <xf numFmtId="3" fontId="3" fillId="10" borderId="0" xfId="6" applyNumberFormat="1" applyFont="1" applyFill="1" applyBorder="1" applyAlignment="1" applyProtection="1">
      <alignment horizontal="right" indent="2"/>
    </xf>
    <xf numFmtId="3" fontId="3" fillId="8" borderId="0" xfId="6" applyNumberFormat="1" applyFont="1" applyFill="1" applyBorder="1" applyAlignment="1">
      <alignment horizontal="right" indent="2"/>
    </xf>
    <xf numFmtId="3" fontId="3" fillId="10" borderId="0" xfId="6" applyNumberFormat="1" applyFont="1" applyFill="1" applyBorder="1" applyAlignment="1">
      <alignment horizontal="right" indent="2"/>
    </xf>
    <xf numFmtId="164" fontId="3" fillId="8" borderId="0" xfId="6" applyNumberFormat="1" applyFont="1" applyFill="1" applyBorder="1" applyAlignment="1">
      <alignment horizontal="right" indent="2"/>
    </xf>
    <xf numFmtId="3" fontId="2" fillId="8" borderId="0" xfId="6" applyNumberFormat="1" applyFont="1" applyFill="1" applyBorder="1" applyAlignment="1">
      <alignment horizontal="right" wrapText="1" indent="2"/>
    </xf>
    <xf numFmtId="3" fontId="2" fillId="8" borderId="0" xfId="6" applyNumberFormat="1" applyFont="1" applyFill="1" applyBorder="1" applyAlignment="1">
      <alignment horizontal="right" indent="2"/>
    </xf>
    <xf numFmtId="164" fontId="2" fillId="8" borderId="0" xfId="6" applyNumberFormat="1" applyFont="1" applyFill="1" applyBorder="1" applyAlignment="1">
      <alignment horizontal="right" indent="2"/>
    </xf>
    <xf numFmtId="171" fontId="2" fillId="8" borderId="0" xfId="6" applyNumberFormat="1" applyFont="1" applyFill="1" applyBorder="1" applyAlignment="1">
      <alignment horizontal="right" indent="2"/>
    </xf>
    <xf numFmtId="0" fontId="18" fillId="8" borderId="0" xfId="7" applyFont="1" applyFill="1" applyBorder="1" applyAlignment="1">
      <alignment horizontal="right" indent="2"/>
    </xf>
    <xf numFmtId="0" fontId="49" fillId="8" borderId="0" xfId="6" applyFont="1" applyFill="1" applyBorder="1" applyAlignment="1">
      <alignment horizontal="right" indent="2"/>
    </xf>
    <xf numFmtId="1" fontId="2" fillId="8" borderId="0" xfId="6" applyNumberFormat="1" applyFont="1" applyFill="1" applyBorder="1" applyAlignment="1">
      <alignment horizontal="right" indent="2"/>
    </xf>
    <xf numFmtId="4" fontId="2" fillId="8" borderId="0" xfId="6" applyNumberFormat="1" applyFont="1" applyFill="1" applyBorder="1" applyAlignment="1">
      <alignment horizontal="right" indent="2"/>
    </xf>
    <xf numFmtId="3" fontId="50" fillId="10" borderId="0" xfId="6" applyNumberFormat="1" applyFont="1" applyFill="1" applyBorder="1" applyAlignment="1">
      <alignment horizontal="right" indent="2"/>
    </xf>
    <xf numFmtId="3" fontId="50" fillId="8" borderId="0" xfId="6" applyNumberFormat="1" applyFont="1" applyFill="1" applyBorder="1" applyAlignment="1">
      <alignment horizontal="right" indent="2"/>
    </xf>
    <xf numFmtId="164" fontId="50" fillId="8" borderId="0" xfId="6" applyNumberFormat="1" applyFont="1" applyFill="1" applyBorder="1" applyAlignment="1">
      <alignment horizontal="right" indent="2"/>
    </xf>
    <xf numFmtId="164" fontId="3" fillId="10" borderId="0" xfId="6" applyNumberFormat="1" applyFont="1" applyFill="1" applyBorder="1" applyAlignment="1">
      <alignment horizontal="right" indent="3"/>
    </xf>
    <xf numFmtId="164" fontId="2" fillId="8" borderId="0" xfId="6" applyNumberFormat="1" applyFont="1" applyFill="1" applyBorder="1" applyAlignment="1">
      <alignment horizontal="right" indent="3"/>
    </xf>
    <xf numFmtId="171" fontId="2" fillId="8" borderId="0" xfId="6" applyNumberFormat="1" applyFont="1" applyFill="1" applyBorder="1" applyAlignment="1">
      <alignment horizontal="right" indent="3"/>
    </xf>
    <xf numFmtId="0" fontId="49" fillId="8" borderId="0" xfId="6" applyFont="1" applyFill="1" applyBorder="1" applyAlignment="1">
      <alignment horizontal="right" indent="3"/>
    </xf>
    <xf numFmtId="164" fontId="50" fillId="10" borderId="0" xfId="6" applyNumberFormat="1" applyFont="1" applyFill="1" applyBorder="1" applyAlignment="1">
      <alignment horizontal="right" indent="3"/>
    </xf>
    <xf numFmtId="164" fontId="18" fillId="8" borderId="0" xfId="9" applyNumberFormat="1" applyFont="1" applyFill="1" applyBorder="1" applyAlignment="1">
      <alignment horizontal="right" indent="2"/>
    </xf>
    <xf numFmtId="164" fontId="3" fillId="10" borderId="0" xfId="9" applyNumberFormat="1" applyFont="1" applyFill="1" applyBorder="1" applyAlignment="1">
      <alignment horizontal="right" indent="2"/>
    </xf>
    <xf numFmtId="164" fontId="50" fillId="10" borderId="0" xfId="9" applyNumberFormat="1" applyFont="1" applyFill="1" applyBorder="1" applyAlignment="1">
      <alignment horizontal="right" indent="2"/>
    </xf>
    <xf numFmtId="164" fontId="18" fillId="8" borderId="0" xfId="0" applyNumberFormat="1" applyFont="1" applyFill="1" applyAlignment="1">
      <alignment horizontal="right" indent="2"/>
    </xf>
    <xf numFmtId="164" fontId="50" fillId="10" borderId="0" xfId="9" applyNumberFormat="1" applyFont="1" applyFill="1" applyAlignment="1">
      <alignment horizontal="right" indent="2"/>
    </xf>
    <xf numFmtId="164" fontId="53" fillId="10" borderId="0" xfId="9" applyNumberFormat="1" applyFont="1" applyFill="1" applyBorder="1" applyAlignment="1">
      <alignment horizontal="right" indent="1"/>
    </xf>
    <xf numFmtId="4" fontId="18" fillId="8" borderId="0" xfId="9" applyNumberFormat="1" applyFont="1" applyFill="1" applyBorder="1" applyAlignment="1">
      <alignment horizontal="right" indent="1"/>
    </xf>
    <xf numFmtId="164" fontId="18" fillId="8" borderId="0" xfId="9" applyNumberFormat="1" applyFont="1" applyFill="1" applyBorder="1" applyAlignment="1">
      <alignment horizontal="right" indent="1"/>
    </xf>
    <xf numFmtId="164" fontId="52" fillId="10" borderId="0" xfId="9" applyNumberFormat="1" applyFont="1" applyFill="1" applyBorder="1" applyAlignment="1">
      <alignment horizontal="right" indent="1"/>
    </xf>
    <xf numFmtId="3" fontId="37" fillId="0" borderId="0" xfId="0" applyNumberFormat="1" applyFont="1" applyBorder="1" applyAlignment="1">
      <alignment horizontal="right" vertical="center" indent="1"/>
    </xf>
    <xf numFmtId="3" fontId="58" fillId="10" borderId="0" xfId="0" applyNumberFormat="1" applyFont="1" applyFill="1" applyBorder="1" applyAlignment="1">
      <alignment horizontal="right" vertical="center" indent="1"/>
    </xf>
    <xf numFmtId="164" fontId="2" fillId="0" borderId="0" xfId="9" applyNumberFormat="1" applyFont="1" applyFill="1" applyBorder="1" applyAlignment="1">
      <alignment horizontal="right" indent="2"/>
    </xf>
    <xf numFmtId="164" fontId="37" fillId="0" borderId="0" xfId="0" applyNumberFormat="1" applyFont="1" applyBorder="1" applyAlignment="1">
      <alignment horizontal="right" vertical="center" indent="2"/>
    </xf>
    <xf numFmtId="164" fontId="58" fillId="10" borderId="0" xfId="0" applyNumberFormat="1" applyFont="1" applyFill="1" applyBorder="1" applyAlignment="1">
      <alignment horizontal="right" vertical="center" indent="2"/>
    </xf>
    <xf numFmtId="0" fontId="34" fillId="8" borderId="0" xfId="0" applyFont="1" applyFill="1" applyBorder="1" applyAlignment="1">
      <alignment horizontal="right" indent="1"/>
    </xf>
    <xf numFmtId="165" fontId="59" fillId="10" borderId="0" xfId="9" applyNumberFormat="1" applyFont="1" applyFill="1" applyBorder="1" applyAlignment="1">
      <alignment horizontal="right" vertical="center" indent="1"/>
    </xf>
    <xf numFmtId="0" fontId="34" fillId="8" borderId="0" xfId="0" applyFont="1" applyFill="1" applyBorder="1" applyAlignment="1">
      <alignment horizontal="right" indent="2"/>
    </xf>
    <xf numFmtId="164" fontId="35" fillId="10" borderId="0" xfId="9" applyNumberFormat="1" applyFont="1" applyFill="1" applyBorder="1" applyAlignment="1">
      <alignment horizontal="right" indent="2"/>
    </xf>
    <xf numFmtId="164" fontId="34" fillId="8" borderId="0" xfId="9" applyNumberFormat="1" applyFont="1" applyFill="1" applyBorder="1" applyAlignment="1">
      <alignment horizontal="right" indent="2"/>
    </xf>
    <xf numFmtId="2" fontId="34" fillId="8" borderId="0" xfId="9" applyNumberFormat="1" applyFont="1" applyFill="1" applyBorder="1" applyAlignment="1">
      <alignment horizontal="right" indent="2"/>
    </xf>
    <xf numFmtId="2" fontId="37" fillId="8" borderId="0" xfId="0" applyNumberFormat="1" applyFont="1" applyFill="1" applyBorder="1" applyAlignment="1">
      <alignment horizontal="right" vertical="center" wrapText="1" indent="2"/>
    </xf>
    <xf numFmtId="2" fontId="34" fillId="8" borderId="0" xfId="0" applyNumberFormat="1" applyFont="1" applyFill="1" applyBorder="1" applyAlignment="1">
      <alignment horizontal="right" vertical="center" wrapText="1" indent="2"/>
    </xf>
    <xf numFmtId="2" fontId="59" fillId="10" borderId="0" xfId="9" applyNumberFormat="1" applyFont="1" applyFill="1" applyBorder="1" applyAlignment="1">
      <alignment horizontal="right" vertical="center" indent="2"/>
    </xf>
    <xf numFmtId="165" fontId="34" fillId="8" borderId="0" xfId="9" applyNumberFormat="1" applyFont="1" applyFill="1" applyBorder="1" applyAlignment="1">
      <alignment horizontal="right" indent="1"/>
    </xf>
    <xf numFmtId="165" fontId="59" fillId="10" borderId="0" xfId="9" applyNumberFormat="1" applyFont="1" applyFill="1" applyBorder="1" applyAlignment="1">
      <alignment horizontal="right" indent="1"/>
    </xf>
    <xf numFmtId="0" fontId="34" fillId="8" borderId="0" xfId="0" applyFont="1" applyFill="1" applyBorder="1" applyAlignment="1">
      <alignment horizontal="right" vertical="center" wrapText="1" indent="2"/>
    </xf>
    <xf numFmtId="3" fontId="59" fillId="10" borderId="0" xfId="0" applyNumberFormat="1" applyFont="1" applyFill="1" applyBorder="1" applyAlignment="1">
      <alignment horizontal="right" vertical="center" wrapText="1" indent="2"/>
    </xf>
    <xf numFmtId="3" fontId="3" fillId="10" borderId="0" xfId="3" applyNumberFormat="1" applyFont="1" applyFill="1" applyBorder="1" applyAlignment="1">
      <alignment horizontal="right" indent="1"/>
    </xf>
    <xf numFmtId="3" fontId="2" fillId="8" borderId="0" xfId="3" applyNumberFormat="1" applyFont="1" applyFill="1" applyBorder="1" applyAlignment="1">
      <alignment horizontal="right" indent="1"/>
    </xf>
    <xf numFmtId="0" fontId="40" fillId="8" borderId="0" xfId="0" applyFont="1" applyFill="1" applyBorder="1" applyAlignment="1">
      <alignment horizontal="right" indent="1"/>
    </xf>
    <xf numFmtId="3" fontId="3" fillId="8" borderId="0" xfId="3" applyNumberFormat="1" applyFont="1" applyFill="1" applyBorder="1" applyAlignment="1">
      <alignment horizontal="right" indent="1"/>
    </xf>
    <xf numFmtId="3" fontId="59" fillId="10" borderId="0" xfId="0" applyNumberFormat="1" applyFont="1" applyFill="1" applyBorder="1" applyAlignment="1">
      <alignment horizontal="right" vertical="center" indent="1"/>
    </xf>
    <xf numFmtId="3" fontId="59" fillId="8" borderId="0" xfId="0" applyNumberFormat="1" applyFont="1" applyFill="1" applyBorder="1" applyAlignment="1">
      <alignment horizontal="right" vertical="center" indent="1"/>
    </xf>
    <xf numFmtId="3" fontId="50" fillId="10" borderId="0" xfId="3" applyNumberFormat="1" applyFont="1" applyFill="1" applyBorder="1" applyAlignment="1">
      <alignment horizontal="right" indent="1"/>
    </xf>
    <xf numFmtId="164" fontId="2" fillId="8" borderId="0" xfId="3" applyNumberFormat="1" applyFont="1" applyFill="1" applyBorder="1" applyAlignment="1">
      <alignment horizontal="right" indent="2"/>
    </xf>
    <xf numFmtId="165" fontId="3" fillId="8" borderId="0" xfId="9" applyNumberFormat="1" applyFont="1" applyFill="1" applyBorder="1" applyAlignment="1">
      <alignment horizontal="right" indent="2"/>
    </xf>
    <xf numFmtId="3" fontId="4" fillId="8" borderId="0" xfId="0" applyNumberFormat="1" applyFont="1" applyFill="1" applyBorder="1" applyAlignment="1">
      <alignment horizontal="right" indent="1"/>
    </xf>
    <xf numFmtId="164" fontId="4" fillId="8" borderId="0" xfId="0" applyNumberFormat="1" applyFont="1" applyFill="1" applyBorder="1" applyAlignment="1">
      <alignment horizontal="right" indent="1"/>
    </xf>
    <xf numFmtId="3" fontId="11" fillId="8" borderId="0" xfId="0" applyNumberFormat="1" applyFont="1" applyFill="1" applyBorder="1" applyAlignment="1">
      <alignment horizontal="right" indent="1"/>
    </xf>
    <xf numFmtId="164" fontId="11" fillId="8" borderId="0" xfId="0" applyNumberFormat="1" applyFont="1" applyFill="1" applyBorder="1" applyAlignment="1">
      <alignment horizontal="right" indent="1"/>
    </xf>
    <xf numFmtId="3" fontId="63" fillId="10" borderId="0" xfId="0" applyNumberFormat="1" applyFont="1" applyFill="1" applyBorder="1" applyAlignment="1">
      <alignment horizontal="right" indent="1"/>
    </xf>
    <xf numFmtId="3" fontId="63" fillId="8" borderId="0" xfId="0" applyNumberFormat="1" applyFont="1" applyFill="1" applyBorder="1" applyAlignment="1">
      <alignment horizontal="right" indent="1"/>
    </xf>
    <xf numFmtId="164" fontId="63" fillId="8" borderId="0" xfId="0" applyNumberFormat="1" applyFont="1" applyFill="1" applyBorder="1" applyAlignment="1">
      <alignment horizontal="right" indent="1"/>
    </xf>
    <xf numFmtId="0" fontId="11" fillId="8" borderId="0" xfId="0" applyFont="1" applyFill="1" applyBorder="1" applyAlignment="1">
      <alignment horizontal="right" indent="1"/>
    </xf>
    <xf numFmtId="0" fontId="4" fillId="8" borderId="0" xfId="0" applyFont="1" applyFill="1" applyBorder="1" applyAlignment="1">
      <alignment horizontal="right" wrapText="1" indent="1" shrinkToFit="1"/>
    </xf>
    <xf numFmtId="2" fontId="4" fillId="10" borderId="0" xfId="9" applyNumberFormat="1" applyFont="1" applyFill="1" applyBorder="1" applyAlignment="1">
      <alignment horizontal="right" indent="1"/>
    </xf>
    <xf numFmtId="2" fontId="4" fillId="8" borderId="0" xfId="9" applyNumberFormat="1" applyFont="1" applyFill="1" applyBorder="1" applyAlignment="1">
      <alignment horizontal="right" indent="1"/>
    </xf>
    <xf numFmtId="2" fontId="11" fillId="8" borderId="0" xfId="0" applyNumberFormat="1" applyFont="1" applyFill="1" applyBorder="1" applyAlignment="1">
      <alignment horizontal="right" indent="1"/>
    </xf>
    <xf numFmtId="0" fontId="11" fillId="10" borderId="0" xfId="0" applyFont="1" applyFill="1" applyBorder="1" applyAlignment="1">
      <alignment horizontal="right" indent="1"/>
    </xf>
    <xf numFmtId="164" fontId="4" fillId="8" borderId="0" xfId="0" applyNumberFormat="1" applyFont="1" applyFill="1" applyBorder="1" applyAlignment="1">
      <alignment horizontal="right" indent="2"/>
    </xf>
    <xf numFmtId="164" fontId="11" fillId="8" borderId="0" xfId="0" applyNumberFormat="1" applyFont="1" applyFill="1" applyBorder="1" applyAlignment="1">
      <alignment horizontal="right" indent="2"/>
    </xf>
    <xf numFmtId="164" fontId="63" fillId="10" borderId="0" xfId="0" applyNumberFormat="1" applyFont="1" applyFill="1" applyBorder="1" applyAlignment="1">
      <alignment horizontal="right" indent="2"/>
    </xf>
    <xf numFmtId="0" fontId="11" fillId="8" borderId="0" xfId="0" applyFont="1" applyFill="1" applyBorder="1" applyAlignment="1">
      <alignment horizontal="right" indent="2"/>
    </xf>
    <xf numFmtId="2" fontId="4" fillId="10" borderId="0" xfId="0" applyNumberFormat="1" applyFont="1" applyFill="1" applyBorder="1" applyAlignment="1">
      <alignment horizontal="right" indent="2"/>
    </xf>
    <xf numFmtId="0" fontId="4" fillId="8" borderId="0" xfId="0" applyFont="1" applyFill="1" applyBorder="1" applyAlignment="1">
      <alignment horizontal="right" indent="2"/>
    </xf>
    <xf numFmtId="0" fontId="34" fillId="10" borderId="0" xfId="0" applyFont="1" applyFill="1" applyBorder="1" applyAlignment="1">
      <alignment horizontal="right" vertical="center" wrapText="1" indent="2"/>
    </xf>
    <xf numFmtId="0" fontId="37" fillId="8" borderId="0" xfId="0" applyFont="1" applyFill="1" applyBorder="1" applyAlignment="1">
      <alignment horizontal="right" vertical="center" wrapText="1" indent="2"/>
    </xf>
    <xf numFmtId="2" fontId="2" fillId="8" borderId="0" xfId="0" applyNumberFormat="1" applyFont="1" applyFill="1" applyBorder="1" applyAlignment="1">
      <alignment horizontal="right" vertical="center" wrapText="1" indent="2"/>
    </xf>
    <xf numFmtId="3" fontId="37" fillId="8" borderId="0" xfId="0" applyNumberFormat="1" applyFont="1" applyFill="1" applyBorder="1" applyAlignment="1">
      <alignment horizontal="right" vertical="center" wrapText="1" indent="2"/>
    </xf>
    <xf numFmtId="4" fontId="37" fillId="8" borderId="0" xfId="0" applyNumberFormat="1" applyFont="1" applyFill="1" applyBorder="1" applyAlignment="1">
      <alignment horizontal="right" vertical="center" wrapText="1" indent="2"/>
    </xf>
    <xf numFmtId="170" fontId="37" fillId="8" borderId="0" xfId="0" applyNumberFormat="1" applyFont="1" applyFill="1" applyBorder="1" applyAlignment="1">
      <alignment horizontal="right" vertical="center" wrapText="1" indent="2"/>
    </xf>
    <xf numFmtId="176" fontId="37" fillId="8" borderId="0" xfId="0" applyNumberFormat="1" applyFont="1" applyFill="1" applyBorder="1" applyAlignment="1">
      <alignment horizontal="right" vertical="center" wrapText="1" indent="2"/>
    </xf>
    <xf numFmtId="3" fontId="34" fillId="8" borderId="0" xfId="0" applyNumberFormat="1" applyFont="1" applyFill="1" applyBorder="1" applyAlignment="1">
      <alignment horizontal="right" vertical="center" wrapText="1" indent="2"/>
    </xf>
    <xf numFmtId="1" fontId="34" fillId="8" borderId="0" xfId="0" applyNumberFormat="1" applyFont="1" applyFill="1" applyBorder="1" applyAlignment="1">
      <alignment horizontal="right" vertical="center" wrapText="1" indent="2"/>
    </xf>
    <xf numFmtId="0" fontId="47" fillId="9" borderId="0" xfId="6" applyFont="1" applyFill="1" applyAlignment="1">
      <alignment horizontal="center" vertical="center"/>
    </xf>
    <xf numFmtId="0" fontId="47" fillId="9" borderId="0" xfId="0" applyFont="1" applyFill="1" applyAlignment="1">
      <alignment horizontal="center" vertical="center"/>
    </xf>
    <xf numFmtId="0" fontId="47" fillId="9" borderId="0" xfId="0" applyFont="1" applyFill="1" applyBorder="1" applyAlignment="1">
      <alignment horizontal="center" vertical="center" wrapText="1"/>
    </xf>
    <xf numFmtId="0" fontId="48" fillId="9" borderId="0" xfId="0" applyFont="1" applyFill="1" applyAlignment="1">
      <alignment horizontal="center"/>
    </xf>
    <xf numFmtId="0" fontId="48" fillId="9" borderId="0" xfId="0" applyFont="1" applyFill="1" applyAlignment="1">
      <alignment horizontal="center" vertical="center"/>
    </xf>
    <xf numFmtId="0" fontId="46" fillId="9" borderId="0" xfId="0" applyFont="1" applyFill="1" applyAlignment="1">
      <alignment horizontal="center"/>
    </xf>
    <xf numFmtId="0" fontId="46" fillId="9" borderId="0" xfId="0" applyFont="1" applyFill="1" applyBorder="1" applyAlignment="1">
      <alignment horizontal="center"/>
    </xf>
    <xf numFmtId="0" fontId="47" fillId="9" borderId="0" xfId="0" applyFont="1" applyFill="1" applyAlignment="1">
      <alignment horizontal="center"/>
    </xf>
    <xf numFmtId="0" fontId="38" fillId="0" borderId="0" xfId="0" applyFont="1" applyBorder="1" applyAlignment="1">
      <alignment horizontal="center" vertical="center"/>
    </xf>
    <xf numFmtId="0" fontId="46" fillId="9" borderId="0" xfId="0" applyFont="1" applyFill="1" applyBorder="1" applyAlignment="1">
      <alignment horizontal="center" vertical="center"/>
    </xf>
    <xf numFmtId="0" fontId="35" fillId="8" borderId="0" xfId="0" applyFont="1" applyFill="1" applyBorder="1" applyAlignment="1">
      <alignment horizontal="center"/>
    </xf>
    <xf numFmtId="0" fontId="35" fillId="8" borderId="2" xfId="0" applyFont="1" applyFill="1" applyBorder="1" applyAlignment="1">
      <alignment horizontal="center"/>
    </xf>
    <xf numFmtId="0" fontId="35" fillId="8" borderId="1" xfId="0" applyFont="1" applyFill="1" applyBorder="1" applyAlignment="1">
      <alignment horizontal="center" vertical="center" wrapText="1"/>
    </xf>
    <xf numFmtId="0" fontId="35" fillId="8" borderId="0" xfId="0" applyFont="1" applyFill="1" applyAlignment="1">
      <alignment horizontal="left" vertical="center"/>
    </xf>
    <xf numFmtId="0" fontId="46" fillId="9" borderId="0" xfId="0" applyFont="1" applyFill="1" applyBorder="1" applyAlignment="1">
      <alignment horizontal="center" vertical="center" wrapText="1"/>
    </xf>
    <xf numFmtId="14" fontId="35" fillId="8" borderId="2" xfId="0" applyNumberFormat="1" applyFont="1" applyFill="1" applyBorder="1" applyAlignment="1">
      <alignment horizontal="center" vertical="center" wrapText="1"/>
    </xf>
    <xf numFmtId="0" fontId="47" fillId="9" borderId="0" xfId="3" applyFont="1" applyFill="1" applyBorder="1" applyAlignment="1">
      <alignment horizontal="center" vertical="center"/>
    </xf>
    <xf numFmtId="0" fontId="40" fillId="8" borderId="0" xfId="0" applyFont="1" applyFill="1" applyBorder="1" applyAlignment="1">
      <alignment horizontal="justify" vertical="center"/>
    </xf>
    <xf numFmtId="0" fontId="47" fillId="9" borderId="0" xfId="0" applyFont="1" applyFill="1" applyBorder="1" applyAlignment="1">
      <alignment horizontal="center" vertical="center"/>
    </xf>
    <xf numFmtId="0" fontId="40" fillId="8" borderId="0" xfId="0" quotePrefix="1" applyFont="1" applyFill="1" applyBorder="1" applyAlignment="1">
      <alignment horizontal="justify" vertical="center"/>
    </xf>
    <xf numFmtId="0" fontId="45" fillId="8" borderId="0" xfId="0" applyFont="1" applyFill="1" applyBorder="1" applyAlignment="1">
      <alignment horizontal="justify" vertical="center"/>
    </xf>
    <xf numFmtId="17" fontId="7" fillId="5" borderId="63" xfId="0" applyNumberFormat="1" applyFont="1" applyFill="1" applyBorder="1" applyAlignment="1">
      <alignment horizontal="center"/>
    </xf>
    <xf numFmtId="17" fontId="7" fillId="5" borderId="64" xfId="0" applyNumberFormat="1" applyFont="1" applyFill="1" applyBorder="1" applyAlignment="1">
      <alignment horizontal="center"/>
    </xf>
    <xf numFmtId="17" fontId="7" fillId="5" borderId="65" xfId="0" applyNumberFormat="1" applyFont="1" applyFill="1" applyBorder="1" applyAlignment="1">
      <alignment horizontal="center"/>
    </xf>
    <xf numFmtId="0" fontId="7" fillId="5" borderId="66" xfId="0" applyFont="1" applyFill="1" applyBorder="1" applyAlignment="1">
      <alignment horizontal="center" vertical="center" wrapText="1"/>
    </xf>
    <xf numFmtId="0" fontId="7" fillId="5" borderId="67" xfId="0" applyFont="1" applyFill="1" applyBorder="1" applyAlignment="1">
      <alignment horizontal="center" vertical="center" wrapText="1"/>
    </xf>
    <xf numFmtId="168" fontId="7" fillId="5" borderId="63" xfId="0" applyNumberFormat="1" applyFont="1" applyFill="1" applyBorder="1" applyAlignment="1">
      <alignment horizontal="center"/>
    </xf>
    <xf numFmtId="168" fontId="7" fillId="5" borderId="64" xfId="0" applyNumberFormat="1" applyFont="1" applyFill="1" applyBorder="1" applyAlignment="1">
      <alignment horizontal="center"/>
    </xf>
    <xf numFmtId="168" fontId="7" fillId="5" borderId="68" xfId="0" applyNumberFormat="1" applyFont="1" applyFill="1" applyBorder="1" applyAlignment="1">
      <alignment horizontal="center"/>
    </xf>
    <xf numFmtId="0" fontId="7" fillId="4" borderId="8" xfId="0" quotePrefix="1" applyFont="1" applyFill="1" applyBorder="1" applyAlignment="1">
      <alignment horizontal="center" vertical="center" wrapText="1"/>
    </xf>
    <xf numFmtId="0" fontId="7" fillId="4" borderId="10" xfId="0" quotePrefix="1" applyFont="1" applyFill="1" applyBorder="1" applyAlignment="1">
      <alignment horizontal="center" vertical="center" wrapText="1"/>
    </xf>
    <xf numFmtId="0" fontId="7" fillId="4" borderId="11" xfId="0" quotePrefix="1" applyFont="1" applyFill="1" applyBorder="1" applyAlignment="1">
      <alignment horizontal="center" vertical="center" wrapText="1"/>
    </xf>
    <xf numFmtId="0" fontId="7" fillId="4" borderId="12" xfId="0" quotePrefix="1" applyFont="1" applyFill="1" applyBorder="1" applyAlignment="1">
      <alignment horizontal="center" vertical="center" wrapText="1"/>
    </xf>
    <xf numFmtId="0" fontId="7" fillId="4" borderId="13" xfId="0" quotePrefix="1" applyFont="1" applyFill="1" applyBorder="1" applyAlignment="1">
      <alignment horizontal="center" vertical="center" wrapText="1"/>
    </xf>
    <xf numFmtId="0" fontId="7" fillId="4" borderId="14" xfId="0" quotePrefix="1" applyFont="1" applyFill="1" applyBorder="1" applyAlignment="1">
      <alignment horizontal="center" vertical="center" wrapText="1"/>
    </xf>
    <xf numFmtId="0" fontId="7" fillId="5" borderId="69" xfId="0" applyFont="1" applyFill="1" applyBorder="1" applyAlignment="1">
      <alignment horizontal="center" vertical="center" wrapText="1"/>
    </xf>
    <xf numFmtId="17" fontId="7" fillId="5" borderId="68" xfId="0" applyNumberFormat="1" applyFont="1" applyFill="1" applyBorder="1" applyAlignment="1">
      <alignment horizontal="center"/>
    </xf>
    <xf numFmtId="168" fontId="7" fillId="5" borderId="65" xfId="0" applyNumberFormat="1" applyFont="1" applyFill="1" applyBorder="1" applyAlignment="1">
      <alignment horizontal="center"/>
    </xf>
    <xf numFmtId="0" fontId="21" fillId="7" borderId="70" xfId="8" applyFont="1" applyFill="1" applyBorder="1" applyAlignment="1">
      <alignment horizontal="center"/>
    </xf>
    <xf numFmtId="0" fontId="21" fillId="7" borderId="50" xfId="8" applyFont="1" applyFill="1" applyBorder="1" applyAlignment="1">
      <alignment horizontal="center"/>
    </xf>
    <xf numFmtId="0" fontId="21" fillId="7" borderId="71" xfId="8" applyFont="1" applyFill="1" applyBorder="1" applyAlignment="1">
      <alignment horizontal="center"/>
    </xf>
    <xf numFmtId="0" fontId="22" fillId="0" borderId="72" xfId="8" applyFont="1" applyBorder="1" applyAlignment="1">
      <alignment horizontal="center" vertical="center"/>
    </xf>
    <xf numFmtId="0" fontId="22" fillId="0" borderId="47" xfId="8" applyFont="1" applyBorder="1" applyAlignment="1">
      <alignment horizontal="center" vertical="center"/>
    </xf>
    <xf numFmtId="0" fontId="26" fillId="0" borderId="0" xfId="8" applyFont="1" applyAlignment="1">
      <alignment horizontal="center"/>
    </xf>
  </cellXfs>
  <cellStyles count="13">
    <cellStyle name="Millares 2" xfId="1"/>
    <cellStyle name="Normal" xfId="0" builtinId="0"/>
    <cellStyle name="Normal 2" xfId="2"/>
    <cellStyle name="Normal 2 2" xfId="3"/>
    <cellStyle name="Normal 2 3" xfId="4"/>
    <cellStyle name="Normal 3" xfId="5"/>
    <cellStyle name="Normal 4" xfId="6"/>
    <cellStyle name="Normal 5" xfId="7"/>
    <cellStyle name="Normal 6" xfId="8"/>
    <cellStyle name="Porcentaje" xfId="9" builtinId="5"/>
    <cellStyle name="Porcentaje 2" xfId="10"/>
    <cellStyle name="Porcentaje 3" xfId="11"/>
    <cellStyle name="Porcentaje 4" xfId="12"/>
  </cellStyles>
  <dxfs count="0"/>
  <tableStyles count="0" defaultTableStyle="TableStyleMedium2" defaultPivotStyle="PivotStyleLight16"/>
  <colors>
    <mruColors>
      <color rgb="FF53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opez/AppData/Local/Microsoft/Windows/Temporary%20Internet%20Files/Content.Outlook/IZ2H5X9U/Copia%20de%20CCAA%20consolidado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conesa/AppData/Local/Microsoft/Windows/INetCache/Content.Outlook/6V2NCSZ6/Copia%20de%20CCAA%20consolidado%202017%20(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G"/>
      <sheetName val="P&amp;G divisiones"/>
      <sheetName val="Ebitda divisiones"/>
      <sheetName val="Ventas divisiones"/>
      <sheetName val="Producción"/>
      <sheetName val="Mercados"/>
      <sheetName val="CONSOLIDADO 2017 "/>
      <sheetName val="Top 10 productos"/>
      <sheetName val="Top 10 países"/>
      <sheetName val="Precios"/>
      <sheetName val="$€"/>
      <sheetName val="A&amp;S"/>
      <sheetName val="TOP 10 A&amp;S"/>
      <sheetName val="Precios 17"/>
      <sheetName val="Costes"/>
      <sheetName val="Plantillas"/>
      <sheetName val="Plantilla fábricas"/>
      <sheetName val="Otros gastos"/>
      <sheetName val="Morosidad"/>
      <sheetName val="Balance"/>
      <sheetName val="Ratios"/>
      <sheetName val="Balance completo"/>
      <sheetName val="P&amp;G completo"/>
      <sheetName val="Series Hª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8">
          <cell r="E8">
            <v>219826</v>
          </cell>
        </row>
        <row r="14">
          <cell r="E14">
            <v>73454</v>
          </cell>
        </row>
      </sheetData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G"/>
      <sheetName val="P&amp;G divisiones"/>
      <sheetName val="Ebitda divisiones"/>
      <sheetName val="Ventas divisiones"/>
      <sheetName val="Producción"/>
      <sheetName val="Mercados"/>
      <sheetName val="CONSOLIDADO 2017 "/>
      <sheetName val="Top 10 productos"/>
      <sheetName val="Top 10 países"/>
      <sheetName val="Precios"/>
      <sheetName val="$€"/>
      <sheetName val="Costes"/>
      <sheetName val="A&amp;S"/>
      <sheetName val="TOP 10 A&amp;S"/>
      <sheetName val=" Precios"/>
      <sheetName val="Plantillas"/>
      <sheetName val="PLANTILLA ACUMULADA J.C.E. 0,15"/>
      <sheetName val="Plantilla fábricas"/>
      <sheetName val="Otros gastos"/>
      <sheetName val="Inversiones"/>
      <sheetName val="Morosidad"/>
      <sheetName val="Ratios"/>
      <sheetName val="Balance"/>
      <sheetName val="Balance completo "/>
      <sheetName val="P&amp;G completo"/>
      <sheetName val="Series Hª"/>
      <sheetName val="Retribución"/>
      <sheetName val="Parámetros acción"/>
      <sheetName val="Base volumen"/>
      <sheetName val="Gráfico volumen"/>
      <sheetName val="Base Ibex"/>
      <sheetName val="Gráfico Ibex"/>
      <sheetName val="Mercado contínuo"/>
    </sheetNames>
    <sheetDataSet>
      <sheetData sheetId="0">
        <row r="16">
          <cell r="B16">
            <v>74311</v>
          </cell>
          <cell r="C16">
            <v>58430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>
        <row r="3">
          <cell r="B3">
            <v>316581</v>
          </cell>
        </row>
      </sheetData>
      <sheetData sheetId="13" refreshError="1"/>
      <sheetData sheetId="14" refreshError="1"/>
      <sheetData sheetId="15">
        <row r="14">
          <cell r="B14">
            <v>1372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9">
          <cell r="D9">
            <v>89257</v>
          </cell>
          <cell r="E9">
            <v>73454</v>
          </cell>
        </row>
      </sheetData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38DD5"/>
    <pageSetUpPr fitToPage="1"/>
  </sheetPr>
  <dimension ref="B2:M34"/>
  <sheetViews>
    <sheetView showGridLines="0" zoomScaleNormal="100" workbookViewId="0">
      <selection activeCell="O25" sqref="O25"/>
    </sheetView>
  </sheetViews>
  <sheetFormatPr baseColWidth="10" defaultColWidth="11" defaultRowHeight="15" x14ac:dyDescent="0.25"/>
  <cols>
    <col min="1" max="1" width="5.75" style="466" customWidth="1"/>
    <col min="2" max="2" width="44" style="466" customWidth="1"/>
    <col min="3" max="3" width="1" style="466" customWidth="1"/>
    <col min="4" max="4" width="12.75" style="466" customWidth="1"/>
    <col min="5" max="5" width="1" style="466" customWidth="1"/>
    <col min="6" max="6" width="12.75" style="466" customWidth="1"/>
    <col min="7" max="7" width="1" style="466" customWidth="1"/>
    <col min="8" max="8" width="12.75" style="466" customWidth="1"/>
    <col min="9" max="9" width="1" style="466" customWidth="1"/>
    <col min="10" max="10" width="12.75" style="466" customWidth="1"/>
    <col min="11" max="11" width="11" style="466" customWidth="1"/>
    <col min="12" max="12" width="18.625" style="466" customWidth="1"/>
    <col min="13" max="16384" width="11" style="466"/>
  </cols>
  <sheetData>
    <row r="2" spans="2:11" ht="19.899999999999999" customHeight="1" x14ac:dyDescent="0.25">
      <c r="B2" s="730" t="s">
        <v>565</v>
      </c>
      <c r="C2" s="730"/>
      <c r="D2" s="730"/>
      <c r="E2" s="730"/>
      <c r="F2" s="730"/>
      <c r="G2" s="730"/>
      <c r="H2" s="730"/>
      <c r="I2" s="730"/>
      <c r="J2" s="730"/>
    </row>
    <row r="3" spans="2:11" ht="15.75" x14ac:dyDescent="0.25">
      <c r="B3" s="467"/>
      <c r="C3" s="467"/>
      <c r="D3" s="468"/>
      <c r="E3" s="468"/>
      <c r="F3" s="468"/>
      <c r="G3" s="468"/>
      <c r="H3" s="468"/>
      <c r="I3" s="468"/>
      <c r="J3" s="468"/>
      <c r="K3" s="468"/>
    </row>
    <row r="4" spans="2:11" ht="31.5" x14ac:dyDescent="0.25">
      <c r="B4" s="469" t="s">
        <v>325</v>
      </c>
      <c r="C4" s="469"/>
      <c r="D4" s="477" t="s">
        <v>275</v>
      </c>
      <c r="E4" s="564"/>
      <c r="F4" s="477" t="s">
        <v>13</v>
      </c>
      <c r="G4" s="564"/>
      <c r="H4" s="477" t="s">
        <v>585</v>
      </c>
      <c r="I4" s="564"/>
      <c r="J4" s="476" t="s">
        <v>658</v>
      </c>
    </row>
    <row r="5" spans="2:11" ht="15.75" x14ac:dyDescent="0.25">
      <c r="B5" s="469"/>
      <c r="C5" s="469"/>
      <c r="D5" s="470"/>
      <c r="E5" s="470"/>
      <c r="F5" s="470"/>
      <c r="G5" s="470"/>
      <c r="H5" s="470"/>
      <c r="I5" s="470"/>
      <c r="J5" s="471"/>
    </row>
    <row r="6" spans="2:11" ht="15.75" x14ac:dyDescent="0.25">
      <c r="B6" s="464" t="s">
        <v>245</v>
      </c>
      <c r="C6" s="469"/>
      <c r="D6" s="646">
        <f>SUM(D7:D10)</f>
        <v>694037</v>
      </c>
      <c r="E6" s="647"/>
      <c r="F6" s="648">
        <f>SUM(F7:F10)</f>
        <v>619589</v>
      </c>
      <c r="G6" s="647"/>
      <c r="H6" s="661">
        <f>(D6-F6)/F6*100</f>
        <v>12.015707186538172</v>
      </c>
      <c r="I6" s="649"/>
      <c r="J6" s="648">
        <f>+D6-F6</f>
        <v>74448</v>
      </c>
    </row>
    <row r="7" spans="2:11" ht="15.75" x14ac:dyDescent="0.25">
      <c r="B7" s="623" t="s">
        <v>228</v>
      </c>
      <c r="C7" s="472"/>
      <c r="D7" s="650">
        <v>685970</v>
      </c>
      <c r="E7" s="651"/>
      <c r="F7" s="651">
        <v>602543</v>
      </c>
      <c r="G7" s="651"/>
      <c r="H7" s="662">
        <f>+(D7-F7)/F7*100</f>
        <v>13.845816813073922</v>
      </c>
      <c r="I7" s="652"/>
      <c r="J7" s="651">
        <f>+D7-F7</f>
        <v>83427</v>
      </c>
    </row>
    <row r="8" spans="2:11" ht="15.75" x14ac:dyDescent="0.25">
      <c r="B8" s="623" t="s">
        <v>327</v>
      </c>
      <c r="C8" s="472"/>
      <c r="D8" s="651">
        <v>3287</v>
      </c>
      <c r="E8" s="651"/>
      <c r="F8" s="651">
        <v>4381</v>
      </c>
      <c r="G8" s="651"/>
      <c r="H8" s="662">
        <f>+(D8-F8)/F8*100</f>
        <v>-24.971467701438026</v>
      </c>
      <c r="I8" s="652"/>
      <c r="J8" s="651">
        <f>+D8-F8</f>
        <v>-1094</v>
      </c>
    </row>
    <row r="9" spans="2:11" ht="15.75" x14ac:dyDescent="0.25">
      <c r="B9" s="623" t="s">
        <v>559</v>
      </c>
      <c r="C9" s="472"/>
      <c r="D9" s="651">
        <v>6942</v>
      </c>
      <c r="E9" s="651"/>
      <c r="F9" s="651">
        <v>0</v>
      </c>
      <c r="G9" s="651"/>
      <c r="H9" s="663" t="s">
        <v>241</v>
      </c>
      <c r="I9" s="652"/>
      <c r="J9" s="651">
        <f>+D9-F9</f>
        <v>6942</v>
      </c>
    </row>
    <row r="10" spans="2:11" ht="15.75" x14ac:dyDescent="0.25">
      <c r="B10" s="623" t="s">
        <v>328</v>
      </c>
      <c r="C10" s="472"/>
      <c r="D10" s="651">
        <v>-2162</v>
      </c>
      <c r="E10" s="651"/>
      <c r="F10" s="651">
        <v>12665</v>
      </c>
      <c r="G10" s="651"/>
      <c r="H10" s="663" t="s">
        <v>241</v>
      </c>
      <c r="I10" s="652"/>
      <c r="J10" s="651">
        <f>+D10-F10</f>
        <v>-14827</v>
      </c>
    </row>
    <row r="11" spans="2:11" ht="15.75" x14ac:dyDescent="0.25">
      <c r="B11" s="472"/>
      <c r="C11" s="472"/>
      <c r="D11" s="654"/>
      <c r="E11" s="654"/>
      <c r="F11" s="654"/>
      <c r="G11" s="654"/>
      <c r="H11" s="662"/>
      <c r="I11" s="652"/>
      <c r="J11" s="647"/>
    </row>
    <row r="12" spans="2:11" ht="15.75" x14ac:dyDescent="0.25">
      <c r="B12" s="464" t="s">
        <v>244</v>
      </c>
      <c r="C12" s="469"/>
      <c r="D12" s="648">
        <f>SUM(D13:D16)</f>
        <v>-619726</v>
      </c>
      <c r="E12" s="647"/>
      <c r="F12" s="648">
        <f>SUM(F13:F16)</f>
        <v>-561159</v>
      </c>
      <c r="G12" s="647"/>
      <c r="H12" s="661">
        <f>(D12-F12)/F12*100</f>
        <v>10.436792424250523</v>
      </c>
      <c r="I12" s="649"/>
      <c r="J12" s="648">
        <f>+D12-F12</f>
        <v>-58567</v>
      </c>
    </row>
    <row r="13" spans="2:11" ht="15.75" x14ac:dyDescent="0.25">
      <c r="B13" s="623" t="s">
        <v>99</v>
      </c>
      <c r="C13" s="472"/>
      <c r="D13" s="651">
        <v>-316581</v>
      </c>
      <c r="E13" s="651"/>
      <c r="F13" s="651">
        <v>-270215</v>
      </c>
      <c r="G13" s="651"/>
      <c r="H13" s="662">
        <f>+(D13-F13)/F13*100</f>
        <v>17.158929000980699</v>
      </c>
      <c r="I13" s="652"/>
      <c r="J13" s="651">
        <f>+D13-F13</f>
        <v>-46366</v>
      </c>
    </row>
    <row r="14" spans="2:11" ht="15.75" x14ac:dyDescent="0.25">
      <c r="B14" s="623" t="s">
        <v>100</v>
      </c>
      <c r="C14" s="472"/>
      <c r="D14" s="651">
        <v>-114389</v>
      </c>
      <c r="E14" s="651"/>
      <c r="F14" s="651">
        <v>-101854</v>
      </c>
      <c r="G14" s="651"/>
      <c r="H14" s="662">
        <f>+(D14-F14)/F14*100</f>
        <v>12.306831346829776</v>
      </c>
      <c r="I14" s="652"/>
      <c r="J14" s="651">
        <f>+D14-F14</f>
        <v>-12535</v>
      </c>
    </row>
    <row r="15" spans="2:11" ht="15.75" x14ac:dyDescent="0.25">
      <c r="B15" s="623" t="s">
        <v>242</v>
      </c>
      <c r="C15" s="472"/>
      <c r="D15" s="651">
        <f>-94387+11000</f>
        <v>-83387</v>
      </c>
      <c r="E15" s="651"/>
      <c r="F15" s="651">
        <v>-81822</v>
      </c>
      <c r="G15" s="651"/>
      <c r="H15" s="662">
        <f>+(D15-F15)/F15*100</f>
        <v>1.9126885189802254</v>
      </c>
      <c r="I15" s="652"/>
      <c r="J15" s="651">
        <f>+D15-F15</f>
        <v>-1565</v>
      </c>
    </row>
    <row r="16" spans="2:11" ht="15.75" x14ac:dyDescent="0.25">
      <c r="B16" s="623" t="s">
        <v>243</v>
      </c>
      <c r="C16" s="472"/>
      <c r="D16" s="651">
        <v>-105369</v>
      </c>
      <c r="E16" s="651"/>
      <c r="F16" s="651">
        <v>-107268</v>
      </c>
      <c r="G16" s="651"/>
      <c r="H16" s="662">
        <f>+(D16-F16)/F16*100</f>
        <v>-1.770332251929746</v>
      </c>
      <c r="I16" s="652"/>
      <c r="J16" s="651">
        <f>+D16-F16</f>
        <v>1899</v>
      </c>
    </row>
    <row r="17" spans="2:13" x14ac:dyDescent="0.25">
      <c r="B17" s="473"/>
      <c r="C17" s="473"/>
      <c r="D17" s="655"/>
      <c r="E17" s="655"/>
      <c r="F17" s="655"/>
      <c r="G17" s="655"/>
      <c r="H17" s="664"/>
      <c r="I17" s="655"/>
      <c r="J17" s="655"/>
    </row>
    <row r="18" spans="2:13" ht="15.75" x14ac:dyDescent="0.25">
      <c r="B18" s="464" t="s">
        <v>336</v>
      </c>
      <c r="C18" s="469"/>
      <c r="D18" s="648">
        <f>+D6+D13+D14+D15+D16</f>
        <v>74311</v>
      </c>
      <c r="E18" s="647"/>
      <c r="F18" s="648">
        <f>+F6+F13+F14+F15+F16</f>
        <v>58430</v>
      </c>
      <c r="G18" s="647"/>
      <c r="H18" s="661">
        <f>+(D18-F18)/F18*100</f>
        <v>27.179531062810202</v>
      </c>
      <c r="I18" s="649"/>
      <c r="J18" s="648">
        <f>+D18-F18</f>
        <v>15881</v>
      </c>
    </row>
    <row r="19" spans="2:13" ht="15.75" x14ac:dyDescent="0.25">
      <c r="B19" s="472" t="s">
        <v>560</v>
      </c>
      <c r="C19" s="472"/>
      <c r="D19" s="651"/>
      <c r="E19" s="651"/>
      <c r="F19" s="651"/>
      <c r="G19" s="651"/>
      <c r="H19" s="662"/>
      <c r="I19" s="652"/>
      <c r="J19" s="651"/>
    </row>
    <row r="20" spans="2:13" ht="15.75" x14ac:dyDescent="0.25">
      <c r="B20" s="474" t="s">
        <v>561</v>
      </c>
      <c r="C20" s="474"/>
      <c r="D20" s="651">
        <v>-11000</v>
      </c>
      <c r="E20" s="651"/>
      <c r="F20" s="651">
        <v>0</v>
      </c>
      <c r="G20" s="651"/>
      <c r="H20" s="662" t="s">
        <v>241</v>
      </c>
      <c r="I20" s="652"/>
      <c r="J20" s="651">
        <f>+D20-F20</f>
        <v>-11000</v>
      </c>
    </row>
    <row r="21" spans="2:13" ht="15.75" x14ac:dyDescent="0.25">
      <c r="B21" s="474" t="s">
        <v>562</v>
      </c>
      <c r="C21" s="474"/>
      <c r="D21" s="651">
        <v>-10732</v>
      </c>
      <c r="E21" s="651"/>
      <c r="F21" s="651">
        <v>0</v>
      </c>
      <c r="G21" s="651"/>
      <c r="H21" s="662" t="s">
        <v>241</v>
      </c>
      <c r="I21" s="652"/>
      <c r="J21" s="651">
        <f>+D21-F21</f>
        <v>-10732</v>
      </c>
    </row>
    <row r="22" spans="2:13" ht="15.75" x14ac:dyDescent="0.25">
      <c r="B22" s="472" t="s">
        <v>220</v>
      </c>
      <c r="C22" s="472"/>
      <c r="D22" s="651">
        <v>-18252</v>
      </c>
      <c r="E22" s="651"/>
      <c r="F22" s="651">
        <v>-19371</v>
      </c>
      <c r="G22" s="651"/>
      <c r="H22" s="662">
        <f>+(D22-F22)/F22*100</f>
        <v>-5.7766764751432556</v>
      </c>
      <c r="I22" s="652"/>
      <c r="J22" s="651">
        <f>+D22-F22</f>
        <v>1119</v>
      </c>
    </row>
    <row r="23" spans="2:13" ht="15.75" x14ac:dyDescent="0.25">
      <c r="B23" s="472" t="s">
        <v>329</v>
      </c>
      <c r="C23" s="472"/>
      <c r="D23" s="656">
        <v>0</v>
      </c>
      <c r="E23" s="656"/>
      <c r="F23" s="651">
        <v>11990</v>
      </c>
      <c r="G23" s="651"/>
      <c r="H23" s="662" t="s">
        <v>241</v>
      </c>
      <c r="I23" s="652"/>
      <c r="J23" s="651">
        <f>+D23-F23</f>
        <v>-11990</v>
      </c>
      <c r="M23" s="565"/>
    </row>
    <row r="24" spans="2:13" ht="15.75" x14ac:dyDescent="0.25">
      <c r="B24" s="472"/>
      <c r="C24" s="472"/>
      <c r="D24" s="657"/>
      <c r="E24" s="657"/>
      <c r="F24" s="657"/>
      <c r="G24" s="657"/>
      <c r="H24" s="662"/>
      <c r="I24" s="652"/>
      <c r="J24" s="647"/>
    </row>
    <row r="25" spans="2:13" ht="15.75" x14ac:dyDescent="0.25">
      <c r="B25" s="464" t="s">
        <v>221</v>
      </c>
      <c r="C25" s="469"/>
      <c r="D25" s="648">
        <f>D18+D20+D21+D22+D23</f>
        <v>34327</v>
      </c>
      <c r="E25" s="647"/>
      <c r="F25" s="648">
        <f>F18+F20+F21+F22+F23</f>
        <v>51049</v>
      </c>
      <c r="G25" s="647"/>
      <c r="H25" s="661">
        <f>(D25-F25)/F25*100</f>
        <v>-32.756763109953177</v>
      </c>
      <c r="I25" s="649"/>
      <c r="J25" s="648">
        <f>+D25-F25</f>
        <v>-16722</v>
      </c>
    </row>
    <row r="26" spans="2:13" ht="15.75" x14ac:dyDescent="0.25">
      <c r="B26" s="472" t="s">
        <v>563</v>
      </c>
      <c r="C26" s="472"/>
      <c r="D26" s="651">
        <f>151+(-5774-235-89)</f>
        <v>-5947</v>
      </c>
      <c r="E26" s="651"/>
      <c r="F26" s="651">
        <f>93+(-6077-177)</f>
        <v>-6161</v>
      </c>
      <c r="G26" s="651"/>
      <c r="H26" s="662">
        <f>+(D26-F26)/F26*100</f>
        <v>-3.4734621003083914</v>
      </c>
      <c r="I26" s="652"/>
      <c r="J26" s="651">
        <f>+D26-F26</f>
        <v>214</v>
      </c>
    </row>
    <row r="27" spans="2:13" ht="15.75" x14ac:dyDescent="0.25">
      <c r="B27" s="472" t="s">
        <v>240</v>
      </c>
      <c r="C27" s="472"/>
      <c r="D27" s="651">
        <v>-437</v>
      </c>
      <c r="E27" s="651"/>
      <c r="F27" s="651">
        <v>-116</v>
      </c>
      <c r="G27" s="651"/>
      <c r="H27" s="662">
        <f>+(D27-F27)/F27*100</f>
        <v>276.72413793103448</v>
      </c>
      <c r="I27" s="652"/>
      <c r="J27" s="651">
        <f>+D27-F27</f>
        <v>-321</v>
      </c>
      <c r="L27" s="475"/>
    </row>
    <row r="28" spans="2:13" ht="15.75" x14ac:dyDescent="0.25">
      <c r="B28" s="472" t="s">
        <v>564</v>
      </c>
      <c r="C28" s="472"/>
      <c r="D28" s="651">
        <v>740</v>
      </c>
      <c r="E28" s="651"/>
      <c r="F28" s="651">
        <v>550</v>
      </c>
      <c r="G28" s="651"/>
      <c r="H28" s="662">
        <f>+(D28-F28)/F28*100</f>
        <v>34.545454545454547</v>
      </c>
      <c r="I28" s="652"/>
      <c r="J28" s="651">
        <f>+D28-F28</f>
        <v>190</v>
      </c>
    </row>
    <row r="29" spans="2:13" ht="15.75" x14ac:dyDescent="0.25">
      <c r="B29" s="472"/>
      <c r="C29" s="472"/>
      <c r="D29" s="657"/>
      <c r="E29" s="657"/>
      <c r="F29" s="657"/>
      <c r="G29" s="657"/>
      <c r="H29" s="662"/>
      <c r="I29" s="652"/>
      <c r="J29" s="651"/>
    </row>
    <row r="30" spans="2:13" ht="15.75" x14ac:dyDescent="0.25">
      <c r="B30" s="464" t="s">
        <v>223</v>
      </c>
      <c r="C30" s="469"/>
      <c r="D30" s="648">
        <f>+D25+D26+D27+D28</f>
        <v>28683</v>
      </c>
      <c r="E30" s="647"/>
      <c r="F30" s="648">
        <f>+F25+F26+F27+F28</f>
        <v>45322</v>
      </c>
      <c r="G30" s="647"/>
      <c r="H30" s="661">
        <f>(D30-F30)/F30*100</f>
        <v>-36.712854684259298</v>
      </c>
      <c r="I30" s="649"/>
      <c r="J30" s="648">
        <f>+D30-F30</f>
        <v>-16639</v>
      </c>
    </row>
    <row r="31" spans="2:13" ht="15.75" x14ac:dyDescent="0.25">
      <c r="B31" s="472" t="s">
        <v>239</v>
      </c>
      <c r="C31" s="472"/>
      <c r="D31" s="651">
        <v>15899</v>
      </c>
      <c r="E31" s="651"/>
      <c r="F31" s="651">
        <v>-157</v>
      </c>
      <c r="G31" s="651"/>
      <c r="H31" s="663" t="s">
        <v>241</v>
      </c>
      <c r="I31" s="653"/>
      <c r="J31" s="651">
        <f>+D31-F31</f>
        <v>16056</v>
      </c>
    </row>
    <row r="32" spans="2:13" ht="15.75" x14ac:dyDescent="0.25">
      <c r="B32" s="472" t="s">
        <v>558</v>
      </c>
      <c r="C32" s="472"/>
      <c r="D32" s="651">
        <v>-90</v>
      </c>
      <c r="E32" s="651"/>
      <c r="F32" s="651">
        <v>0</v>
      </c>
      <c r="G32" s="651"/>
      <c r="H32" s="663" t="s">
        <v>241</v>
      </c>
      <c r="I32" s="653"/>
      <c r="J32" s="651">
        <f>+D32-F32</f>
        <v>-90</v>
      </c>
    </row>
    <row r="33" spans="2:10" ht="15.75" x14ac:dyDescent="0.25">
      <c r="B33" s="472"/>
      <c r="C33" s="472"/>
      <c r="D33" s="654"/>
      <c r="E33" s="654"/>
      <c r="F33" s="654"/>
      <c r="G33" s="654"/>
      <c r="H33" s="662"/>
      <c r="I33" s="652"/>
      <c r="J33" s="651"/>
    </row>
    <row r="34" spans="2:10" ht="18.75" x14ac:dyDescent="0.3">
      <c r="B34" s="465" t="s">
        <v>224</v>
      </c>
      <c r="C34" s="606"/>
      <c r="D34" s="658">
        <f>+D30+D31+D32</f>
        <v>44492</v>
      </c>
      <c r="E34" s="659"/>
      <c r="F34" s="658">
        <f>+F30+F31+F32</f>
        <v>45165</v>
      </c>
      <c r="G34" s="659"/>
      <c r="H34" s="665">
        <f>(D34-F34)/F34*100</f>
        <v>-1.4900918853094212</v>
      </c>
      <c r="I34" s="660"/>
      <c r="J34" s="658">
        <f>+D34-F34</f>
        <v>-673</v>
      </c>
    </row>
  </sheetData>
  <mergeCells count="1">
    <mergeCell ref="B2:J2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showRuler="0" topLeftCell="A130" zoomScaleNormal="100" workbookViewId="0">
      <pane xSplit="1" topLeftCell="E1" activePane="topRight" state="frozen"/>
      <selection activeCell="T161" sqref="T161"/>
      <selection pane="topRight" activeCell="H286" sqref="H286"/>
    </sheetView>
  </sheetViews>
  <sheetFormatPr baseColWidth="10" defaultColWidth="15.625" defaultRowHeight="12.75" x14ac:dyDescent="0.2"/>
  <cols>
    <col min="1" max="1" width="15.625" style="223"/>
    <col min="2" max="2" width="0" style="221" hidden="1" customWidth="1"/>
    <col min="3" max="3" width="0" style="223" hidden="1" customWidth="1"/>
    <col min="4" max="4" width="0" style="221" hidden="1" customWidth="1"/>
    <col min="5" max="5" width="15.625" style="221"/>
    <col min="6" max="6" width="15.625" style="226"/>
    <col min="7" max="7" width="15.625" style="227"/>
    <col min="8" max="10" width="15.625" style="180"/>
    <col min="11" max="11" width="15.625" style="220"/>
    <col min="12" max="16384" width="15.625" style="180"/>
  </cols>
  <sheetData>
    <row r="1" spans="1:11" ht="37.15" customHeight="1" x14ac:dyDescent="0.2">
      <c r="A1" s="172"/>
      <c r="B1" s="174" t="s">
        <v>277</v>
      </c>
      <c r="C1" s="175" t="s">
        <v>278</v>
      </c>
      <c r="D1" s="173"/>
      <c r="E1" s="175" t="s">
        <v>279</v>
      </c>
      <c r="F1" s="175" t="s">
        <v>103</v>
      </c>
      <c r="G1" s="176" t="s">
        <v>18</v>
      </c>
      <c r="H1" s="177" t="s">
        <v>280</v>
      </c>
      <c r="I1" s="178" t="s">
        <v>104</v>
      </c>
      <c r="J1" s="178" t="s">
        <v>105</v>
      </c>
      <c r="K1" s="179"/>
    </row>
    <row r="2" spans="1:11" x14ac:dyDescent="0.2">
      <c r="A2" s="181"/>
      <c r="B2" s="183"/>
      <c r="C2" s="184"/>
      <c r="D2" s="182"/>
      <c r="E2" s="182"/>
      <c r="F2" s="185"/>
      <c r="G2" s="186"/>
      <c r="H2" s="187"/>
      <c r="I2" s="187"/>
      <c r="J2" s="187"/>
      <c r="K2" s="188"/>
    </row>
    <row r="3" spans="1:11" x14ac:dyDescent="0.2">
      <c r="A3" s="189" t="s">
        <v>106</v>
      </c>
      <c r="B3" s="191">
        <v>6623795.3799999999</v>
      </c>
      <c r="C3" s="191">
        <f>153309.38+372457.49</f>
        <v>525766.87</v>
      </c>
      <c r="D3" s="190">
        <v>1</v>
      </c>
      <c r="E3" s="186">
        <f t="shared" ref="E3:E34" si="0">+B3+C3</f>
        <v>7149562.25</v>
      </c>
      <c r="F3" s="186">
        <f>510043-115</f>
        <v>509928</v>
      </c>
      <c r="G3" s="186">
        <v>9072513.1600000001</v>
      </c>
      <c r="H3" s="188">
        <f t="shared" ref="H3:H34" si="1">+G3+F3+E3</f>
        <v>16732003.41</v>
      </c>
      <c r="I3" s="188"/>
      <c r="J3" s="188">
        <f t="shared" ref="J3:J34" si="2">+I3+H3</f>
        <v>16732003.41</v>
      </c>
      <c r="K3" s="188"/>
    </row>
    <row r="4" spans="1:11" x14ac:dyDescent="0.2">
      <c r="A4" s="192" t="s">
        <v>281</v>
      </c>
      <c r="B4" s="191">
        <v>0</v>
      </c>
      <c r="C4" s="191">
        <v>0</v>
      </c>
      <c r="D4" s="193">
        <v>3</v>
      </c>
      <c r="E4" s="186">
        <f t="shared" si="0"/>
        <v>0</v>
      </c>
      <c r="F4" s="191">
        <v>0</v>
      </c>
      <c r="G4" s="186">
        <v>0</v>
      </c>
      <c r="H4" s="188">
        <f t="shared" si="1"/>
        <v>0</v>
      </c>
      <c r="I4" s="188"/>
      <c r="J4" s="188">
        <f t="shared" si="2"/>
        <v>0</v>
      </c>
      <c r="K4" s="188"/>
    </row>
    <row r="5" spans="1:11" x14ac:dyDescent="0.2">
      <c r="A5" s="194" t="s">
        <v>107</v>
      </c>
      <c r="B5" s="191">
        <v>678443.56</v>
      </c>
      <c r="C5" s="191">
        <v>0</v>
      </c>
      <c r="D5" s="195">
        <v>3</v>
      </c>
      <c r="E5" s="186">
        <f t="shared" si="0"/>
        <v>678443.56</v>
      </c>
      <c r="F5" s="186">
        <v>1489008.18</v>
      </c>
      <c r="G5" s="186">
        <v>18554.78</v>
      </c>
      <c r="H5" s="188">
        <f t="shared" si="1"/>
        <v>2186006.52</v>
      </c>
      <c r="I5" s="188"/>
      <c r="J5" s="188">
        <f t="shared" si="2"/>
        <v>2186006.52</v>
      </c>
      <c r="K5" s="188"/>
    </row>
    <row r="6" spans="1:11" x14ac:dyDescent="0.2">
      <c r="A6" s="192" t="s">
        <v>108</v>
      </c>
      <c r="B6" s="191">
        <v>0</v>
      </c>
      <c r="C6" s="191">
        <f>45000+22500</f>
        <v>67500</v>
      </c>
      <c r="D6" s="193">
        <v>3</v>
      </c>
      <c r="E6" s="186">
        <f t="shared" si="0"/>
        <v>67500</v>
      </c>
      <c r="F6" s="191">
        <v>504936.79</v>
      </c>
      <c r="G6" s="186">
        <v>257400</v>
      </c>
      <c r="H6" s="188">
        <f t="shared" si="1"/>
        <v>829836.79</v>
      </c>
      <c r="I6" s="188"/>
      <c r="J6" s="188">
        <f t="shared" si="2"/>
        <v>829836.79</v>
      </c>
      <c r="K6" s="188"/>
    </row>
    <row r="7" spans="1:11" x14ac:dyDescent="0.2">
      <c r="A7" s="196" t="s">
        <v>109</v>
      </c>
      <c r="B7" s="191">
        <v>165586.18</v>
      </c>
      <c r="C7" s="191">
        <v>0</v>
      </c>
      <c r="D7" s="193">
        <v>3</v>
      </c>
      <c r="E7" s="186">
        <f t="shared" si="0"/>
        <v>165586.18</v>
      </c>
      <c r="F7" s="186">
        <v>562239.22</v>
      </c>
      <c r="G7" s="186">
        <v>1195205.18</v>
      </c>
      <c r="H7" s="188">
        <f t="shared" si="1"/>
        <v>1923030.5799999998</v>
      </c>
      <c r="I7" s="188"/>
      <c r="J7" s="188">
        <f t="shared" si="2"/>
        <v>1923030.5799999998</v>
      </c>
      <c r="K7" s="188"/>
    </row>
    <row r="8" spans="1:11" x14ac:dyDescent="0.2">
      <c r="A8" s="196" t="s">
        <v>282</v>
      </c>
      <c r="B8" s="191">
        <v>0</v>
      </c>
      <c r="C8" s="191">
        <v>0</v>
      </c>
      <c r="D8" s="193">
        <v>3</v>
      </c>
      <c r="E8" s="186">
        <f t="shared" si="0"/>
        <v>0</v>
      </c>
      <c r="F8" s="186">
        <v>0</v>
      </c>
      <c r="G8" s="186">
        <v>0</v>
      </c>
      <c r="H8" s="188">
        <f t="shared" si="1"/>
        <v>0</v>
      </c>
      <c r="I8" s="188"/>
      <c r="J8" s="188">
        <f t="shared" si="2"/>
        <v>0</v>
      </c>
      <c r="K8" s="188"/>
    </row>
    <row r="9" spans="1:11" x14ac:dyDescent="0.2">
      <c r="A9" s="181" t="s">
        <v>110</v>
      </c>
      <c r="B9" s="191">
        <v>24693.68</v>
      </c>
      <c r="C9" s="191">
        <v>0</v>
      </c>
      <c r="D9" s="182">
        <v>2</v>
      </c>
      <c r="E9" s="186">
        <f t="shared" si="0"/>
        <v>24693.68</v>
      </c>
      <c r="F9" s="191">
        <v>5148.18</v>
      </c>
      <c r="G9" s="186">
        <v>0</v>
      </c>
      <c r="H9" s="188">
        <f t="shared" si="1"/>
        <v>29841.86</v>
      </c>
      <c r="I9" s="188"/>
      <c r="J9" s="188">
        <f t="shared" si="2"/>
        <v>29841.86</v>
      </c>
      <c r="K9" s="188"/>
    </row>
    <row r="10" spans="1:11" x14ac:dyDescent="0.2">
      <c r="A10" s="189" t="s">
        <v>111</v>
      </c>
      <c r="B10" s="191">
        <v>61998.400000000001</v>
      </c>
      <c r="C10" s="191">
        <v>0</v>
      </c>
      <c r="D10" s="190">
        <v>1</v>
      </c>
      <c r="E10" s="186">
        <f t="shared" si="0"/>
        <v>61998.400000000001</v>
      </c>
      <c r="F10" s="191">
        <v>0</v>
      </c>
      <c r="G10" s="186">
        <v>1788854.2</v>
      </c>
      <c r="H10" s="188">
        <f t="shared" si="1"/>
        <v>1850852.5999999999</v>
      </c>
      <c r="I10" s="188"/>
      <c r="J10" s="188">
        <f t="shared" si="2"/>
        <v>1850852.5999999999</v>
      </c>
      <c r="K10" s="188"/>
    </row>
    <row r="11" spans="1:11" x14ac:dyDescent="0.2">
      <c r="A11" s="196" t="s">
        <v>112</v>
      </c>
      <c r="B11" s="191">
        <v>531238.91</v>
      </c>
      <c r="C11" s="191">
        <v>0</v>
      </c>
      <c r="D11" s="193">
        <v>3</v>
      </c>
      <c r="E11" s="186">
        <f t="shared" si="0"/>
        <v>531238.91</v>
      </c>
      <c r="F11" s="186">
        <v>259515.48</v>
      </c>
      <c r="G11" s="186">
        <v>3839697.35</v>
      </c>
      <c r="H11" s="188">
        <f t="shared" si="1"/>
        <v>4630451.74</v>
      </c>
      <c r="I11" s="188"/>
      <c r="J11" s="188">
        <f t="shared" si="2"/>
        <v>4630451.74</v>
      </c>
      <c r="K11" s="188"/>
    </row>
    <row r="12" spans="1:11" x14ac:dyDescent="0.2">
      <c r="A12" s="196" t="s">
        <v>113</v>
      </c>
      <c r="B12" s="191">
        <v>140505</v>
      </c>
      <c r="C12" s="191">
        <v>0</v>
      </c>
      <c r="D12" s="193">
        <v>3</v>
      </c>
      <c r="E12" s="186">
        <f t="shared" si="0"/>
        <v>140505</v>
      </c>
      <c r="F12" s="191">
        <v>0</v>
      </c>
      <c r="G12" s="186">
        <v>0</v>
      </c>
      <c r="H12" s="188">
        <f t="shared" si="1"/>
        <v>140505</v>
      </c>
      <c r="I12" s="188"/>
      <c r="J12" s="188">
        <f t="shared" si="2"/>
        <v>140505</v>
      </c>
      <c r="K12" s="188"/>
    </row>
    <row r="13" spans="1:11" x14ac:dyDescent="0.2">
      <c r="A13" s="196" t="s">
        <v>114</v>
      </c>
      <c r="B13" s="191">
        <v>0</v>
      </c>
      <c r="C13" s="191">
        <v>0</v>
      </c>
      <c r="D13" s="193">
        <v>3</v>
      </c>
      <c r="E13" s="186">
        <f t="shared" si="0"/>
        <v>0</v>
      </c>
      <c r="F13" s="191">
        <v>0</v>
      </c>
      <c r="G13" s="186">
        <v>0</v>
      </c>
      <c r="H13" s="188">
        <f t="shared" si="1"/>
        <v>0</v>
      </c>
      <c r="I13" s="188"/>
      <c r="J13" s="188">
        <f t="shared" si="2"/>
        <v>0</v>
      </c>
      <c r="K13" s="188"/>
    </row>
    <row r="14" spans="1:11" x14ac:dyDescent="0.2">
      <c r="A14" s="189" t="s">
        <v>115</v>
      </c>
      <c r="B14" s="191">
        <v>419450.47</v>
      </c>
      <c r="C14" s="191">
        <f>275544.9+209379.4</f>
        <v>484924.30000000005</v>
      </c>
      <c r="D14" s="190">
        <v>1</v>
      </c>
      <c r="E14" s="186">
        <f t="shared" si="0"/>
        <v>904374.77</v>
      </c>
      <c r="F14" s="186">
        <v>0</v>
      </c>
      <c r="G14" s="186">
        <v>2470185.25</v>
      </c>
      <c r="H14" s="188">
        <f t="shared" si="1"/>
        <v>3374560.02</v>
      </c>
      <c r="I14" s="188"/>
      <c r="J14" s="188">
        <f t="shared" si="2"/>
        <v>3374560.02</v>
      </c>
      <c r="K14" s="188"/>
    </row>
    <row r="15" spans="1:11" s="197" customFormat="1" x14ac:dyDescent="0.2">
      <c r="A15" s="196" t="s">
        <v>283</v>
      </c>
      <c r="B15" s="191">
        <v>0</v>
      </c>
      <c r="C15" s="191">
        <v>0</v>
      </c>
      <c r="D15" s="193">
        <v>3</v>
      </c>
      <c r="E15" s="186">
        <f t="shared" si="0"/>
        <v>0</v>
      </c>
      <c r="F15" s="191">
        <v>0</v>
      </c>
      <c r="G15" s="186">
        <v>0</v>
      </c>
      <c r="H15" s="188">
        <f t="shared" si="1"/>
        <v>0</v>
      </c>
      <c r="I15" s="188"/>
      <c r="J15" s="188">
        <f t="shared" si="2"/>
        <v>0</v>
      </c>
      <c r="K15" s="188"/>
    </row>
    <row r="16" spans="1:11" x14ac:dyDescent="0.2">
      <c r="A16" s="196" t="s">
        <v>116</v>
      </c>
      <c r="B16" s="191">
        <v>4450</v>
      </c>
      <c r="C16" s="191">
        <v>0</v>
      </c>
      <c r="D16" s="193">
        <v>3</v>
      </c>
      <c r="E16" s="186">
        <f t="shared" si="0"/>
        <v>4450</v>
      </c>
      <c r="F16" s="191">
        <v>0</v>
      </c>
      <c r="G16" s="186">
        <v>251960</v>
      </c>
      <c r="H16" s="188">
        <f t="shared" si="1"/>
        <v>256410</v>
      </c>
      <c r="I16" s="188"/>
      <c r="J16" s="188">
        <f t="shared" si="2"/>
        <v>256410</v>
      </c>
      <c r="K16" s="188"/>
    </row>
    <row r="17" spans="1:11" x14ac:dyDescent="0.2">
      <c r="A17" s="196" t="s">
        <v>284</v>
      </c>
      <c r="B17" s="191">
        <v>0</v>
      </c>
      <c r="C17" s="191">
        <v>0</v>
      </c>
      <c r="D17" s="193">
        <v>3</v>
      </c>
      <c r="E17" s="186">
        <f t="shared" si="0"/>
        <v>0</v>
      </c>
      <c r="F17" s="191">
        <v>0</v>
      </c>
      <c r="G17" s="186">
        <v>0</v>
      </c>
      <c r="H17" s="188">
        <f t="shared" si="1"/>
        <v>0</v>
      </c>
      <c r="I17" s="188"/>
      <c r="J17" s="188">
        <f t="shared" si="2"/>
        <v>0</v>
      </c>
      <c r="K17" s="188"/>
    </row>
    <row r="18" spans="1:11" x14ac:dyDescent="0.2">
      <c r="A18" s="196" t="s">
        <v>117</v>
      </c>
      <c r="B18" s="191">
        <v>277061.52</v>
      </c>
      <c r="C18" s="191">
        <v>0</v>
      </c>
      <c r="D18" s="193">
        <v>3</v>
      </c>
      <c r="E18" s="186">
        <f t="shared" si="0"/>
        <v>277061.52</v>
      </c>
      <c r="F18" s="186">
        <v>53930</v>
      </c>
      <c r="G18" s="186">
        <v>4817137.33</v>
      </c>
      <c r="H18" s="188">
        <f t="shared" si="1"/>
        <v>5148128.8499999996</v>
      </c>
      <c r="I18" s="188"/>
      <c r="J18" s="188">
        <f t="shared" si="2"/>
        <v>5148128.8499999996</v>
      </c>
      <c r="K18" s="188"/>
    </row>
    <row r="19" spans="1:11" x14ac:dyDescent="0.2">
      <c r="A19" s="196" t="s">
        <v>118</v>
      </c>
      <c r="B19" s="191">
        <v>0</v>
      </c>
      <c r="C19" s="191">
        <v>0</v>
      </c>
      <c r="D19" s="193">
        <v>3</v>
      </c>
      <c r="E19" s="186">
        <f t="shared" si="0"/>
        <v>0</v>
      </c>
      <c r="F19" s="191">
        <v>0</v>
      </c>
      <c r="G19" s="186">
        <v>0</v>
      </c>
      <c r="H19" s="188">
        <f t="shared" si="1"/>
        <v>0</v>
      </c>
      <c r="I19" s="188"/>
      <c r="J19" s="188">
        <f t="shared" si="2"/>
        <v>0</v>
      </c>
      <c r="K19" s="188"/>
    </row>
    <row r="20" spans="1:11" x14ac:dyDescent="0.2">
      <c r="A20" s="196" t="s">
        <v>119</v>
      </c>
      <c r="B20" s="191">
        <v>18000</v>
      </c>
      <c r="C20" s="191">
        <v>0</v>
      </c>
      <c r="D20" s="193">
        <v>3</v>
      </c>
      <c r="E20" s="186">
        <f t="shared" si="0"/>
        <v>18000</v>
      </c>
      <c r="F20" s="186">
        <v>0</v>
      </c>
      <c r="G20" s="186">
        <v>6367872.46</v>
      </c>
      <c r="H20" s="188">
        <f t="shared" si="1"/>
        <v>6385872.46</v>
      </c>
      <c r="I20" s="188"/>
      <c r="J20" s="188">
        <f t="shared" si="2"/>
        <v>6385872.46</v>
      </c>
      <c r="K20" s="188"/>
    </row>
    <row r="21" spans="1:11" x14ac:dyDescent="0.2">
      <c r="A21" s="196" t="s">
        <v>120</v>
      </c>
      <c r="B21" s="191">
        <v>0</v>
      </c>
      <c r="C21" s="191">
        <v>0</v>
      </c>
      <c r="D21" s="193">
        <v>3</v>
      </c>
      <c r="E21" s="186">
        <f t="shared" si="0"/>
        <v>0</v>
      </c>
      <c r="F21" s="191">
        <v>0</v>
      </c>
      <c r="G21" s="186">
        <v>0</v>
      </c>
      <c r="H21" s="188">
        <f t="shared" si="1"/>
        <v>0</v>
      </c>
      <c r="I21" s="188"/>
      <c r="J21" s="188">
        <f t="shared" si="2"/>
        <v>0</v>
      </c>
      <c r="K21" s="188"/>
    </row>
    <row r="22" spans="1:11" x14ac:dyDescent="0.2">
      <c r="A22" s="196" t="s">
        <v>121</v>
      </c>
      <c r="B22" s="191">
        <v>22515.4</v>
      </c>
      <c r="C22" s="191">
        <v>0</v>
      </c>
      <c r="D22" s="193">
        <v>3</v>
      </c>
      <c r="E22" s="186">
        <f t="shared" si="0"/>
        <v>22515.4</v>
      </c>
      <c r="F22" s="191">
        <v>0</v>
      </c>
      <c r="G22" s="186">
        <v>0</v>
      </c>
      <c r="H22" s="188">
        <f t="shared" si="1"/>
        <v>22515.4</v>
      </c>
      <c r="I22" s="188"/>
      <c r="J22" s="188">
        <f t="shared" si="2"/>
        <v>22515.4</v>
      </c>
      <c r="K22" s="188"/>
    </row>
    <row r="23" spans="1:11" x14ac:dyDescent="0.2">
      <c r="A23" s="196" t="s">
        <v>122</v>
      </c>
      <c r="B23" s="191">
        <v>0</v>
      </c>
      <c r="C23" s="191">
        <v>0</v>
      </c>
      <c r="D23" s="193">
        <v>3</v>
      </c>
      <c r="E23" s="186">
        <f t="shared" si="0"/>
        <v>0</v>
      </c>
      <c r="F23" s="191">
        <v>0</v>
      </c>
      <c r="G23" s="186">
        <v>41840</v>
      </c>
      <c r="H23" s="188">
        <f t="shared" si="1"/>
        <v>41840</v>
      </c>
      <c r="I23" s="188"/>
      <c r="J23" s="188">
        <f t="shared" si="2"/>
        <v>41840</v>
      </c>
      <c r="K23" s="188"/>
    </row>
    <row r="24" spans="1:11" x14ac:dyDescent="0.2">
      <c r="A24" s="181" t="s">
        <v>123</v>
      </c>
      <c r="B24" s="191">
        <v>481419.29</v>
      </c>
      <c r="C24" s="191">
        <v>0</v>
      </c>
      <c r="D24" s="182">
        <v>2</v>
      </c>
      <c r="E24" s="186">
        <f t="shared" si="0"/>
        <v>481419.29</v>
      </c>
      <c r="F24" s="186">
        <v>50920</v>
      </c>
      <c r="G24" s="186">
        <v>1498227.88</v>
      </c>
      <c r="H24" s="188">
        <f t="shared" si="1"/>
        <v>2030567.17</v>
      </c>
      <c r="I24" s="188"/>
      <c r="J24" s="188">
        <f t="shared" si="2"/>
        <v>2030567.17</v>
      </c>
      <c r="K24" s="188"/>
    </row>
    <row r="25" spans="1:11" x14ac:dyDescent="0.2">
      <c r="A25" s="196" t="s">
        <v>285</v>
      </c>
      <c r="B25" s="191">
        <v>0</v>
      </c>
      <c r="C25" s="191">
        <v>0</v>
      </c>
      <c r="D25" s="193">
        <v>3</v>
      </c>
      <c r="E25" s="186">
        <f t="shared" si="0"/>
        <v>0</v>
      </c>
      <c r="F25" s="191">
        <v>0</v>
      </c>
      <c r="G25" s="186">
        <v>0</v>
      </c>
      <c r="H25" s="188">
        <f t="shared" si="1"/>
        <v>0</v>
      </c>
      <c r="I25" s="188"/>
      <c r="J25" s="188">
        <f t="shared" si="2"/>
        <v>0</v>
      </c>
      <c r="K25" s="188"/>
    </row>
    <row r="26" spans="1:11" x14ac:dyDescent="0.2">
      <c r="A26" s="196" t="s">
        <v>124</v>
      </c>
      <c r="B26" s="191">
        <v>134262.37</v>
      </c>
      <c r="C26" s="191">
        <v>0</v>
      </c>
      <c r="D26" s="193">
        <v>3</v>
      </c>
      <c r="E26" s="186">
        <f t="shared" si="0"/>
        <v>134262.37</v>
      </c>
      <c r="F26" s="191">
        <v>117607.2</v>
      </c>
      <c r="G26" s="186">
        <v>337972.92</v>
      </c>
      <c r="H26" s="188">
        <f t="shared" si="1"/>
        <v>589842.49</v>
      </c>
      <c r="I26" s="188"/>
      <c r="J26" s="188">
        <f t="shared" si="2"/>
        <v>589842.49</v>
      </c>
      <c r="K26" s="188"/>
    </row>
    <row r="27" spans="1:11" x14ac:dyDescent="0.2">
      <c r="A27" s="196" t="s">
        <v>125</v>
      </c>
      <c r="B27" s="191">
        <v>236765.51</v>
      </c>
      <c r="C27" s="191">
        <v>0</v>
      </c>
      <c r="D27" s="193">
        <v>3</v>
      </c>
      <c r="E27" s="186">
        <f t="shared" si="0"/>
        <v>236765.51</v>
      </c>
      <c r="F27" s="186">
        <v>179892.01</v>
      </c>
      <c r="G27" s="186">
        <v>7251847.0700000003</v>
      </c>
      <c r="H27" s="188">
        <f t="shared" si="1"/>
        <v>7668504.5899999999</v>
      </c>
      <c r="I27" s="188"/>
      <c r="J27" s="188">
        <f t="shared" si="2"/>
        <v>7668504.5899999999</v>
      </c>
      <c r="K27" s="188"/>
    </row>
    <row r="28" spans="1:11" x14ac:dyDescent="0.2">
      <c r="A28" s="189" t="s">
        <v>126</v>
      </c>
      <c r="B28" s="191">
        <v>47280</v>
      </c>
      <c r="C28" s="191">
        <v>0</v>
      </c>
      <c r="D28" s="190">
        <v>1</v>
      </c>
      <c r="E28" s="186">
        <f t="shared" si="0"/>
        <v>47280</v>
      </c>
      <c r="F28" s="191">
        <v>0</v>
      </c>
      <c r="G28" s="186">
        <v>0</v>
      </c>
      <c r="H28" s="188">
        <f t="shared" si="1"/>
        <v>47280</v>
      </c>
      <c r="I28" s="188"/>
      <c r="J28" s="188">
        <f t="shared" si="2"/>
        <v>47280</v>
      </c>
      <c r="K28" s="188"/>
    </row>
    <row r="29" spans="1:11" x14ac:dyDescent="0.2">
      <c r="A29" s="196" t="s">
        <v>127</v>
      </c>
      <c r="B29" s="191">
        <v>0</v>
      </c>
      <c r="C29" s="191">
        <v>0</v>
      </c>
      <c r="D29" s="193">
        <v>3</v>
      </c>
      <c r="E29" s="186">
        <f t="shared" si="0"/>
        <v>0</v>
      </c>
      <c r="F29" s="186">
        <v>139526.51</v>
      </c>
      <c r="G29" s="186">
        <v>306320.28000000003</v>
      </c>
      <c r="H29" s="188">
        <f t="shared" si="1"/>
        <v>445846.79000000004</v>
      </c>
      <c r="I29" s="188"/>
      <c r="J29" s="188">
        <f t="shared" si="2"/>
        <v>445846.79000000004</v>
      </c>
      <c r="K29" s="188"/>
    </row>
    <row r="30" spans="1:11" x14ac:dyDescent="0.2">
      <c r="A30" s="196" t="s">
        <v>286</v>
      </c>
      <c r="B30" s="191">
        <v>0</v>
      </c>
      <c r="C30" s="191">
        <v>0</v>
      </c>
      <c r="D30" s="193">
        <v>3</v>
      </c>
      <c r="E30" s="186">
        <f t="shared" si="0"/>
        <v>0</v>
      </c>
      <c r="F30" s="191">
        <v>0</v>
      </c>
      <c r="G30" s="186">
        <v>0</v>
      </c>
      <c r="H30" s="188">
        <f t="shared" si="1"/>
        <v>0</v>
      </c>
      <c r="I30" s="188"/>
      <c r="J30" s="188">
        <f t="shared" si="2"/>
        <v>0</v>
      </c>
      <c r="K30" s="188"/>
    </row>
    <row r="31" spans="1:11" x14ac:dyDescent="0.2">
      <c r="A31" s="181" t="s">
        <v>128</v>
      </c>
      <c r="B31" s="191">
        <v>0</v>
      </c>
      <c r="C31" s="191">
        <v>0</v>
      </c>
      <c r="D31" s="182">
        <v>2</v>
      </c>
      <c r="E31" s="186">
        <f t="shared" si="0"/>
        <v>0</v>
      </c>
      <c r="F31" s="191">
        <v>161988.98000000001</v>
      </c>
      <c r="G31" s="186">
        <v>3211670.33</v>
      </c>
      <c r="H31" s="188">
        <f t="shared" si="1"/>
        <v>3373659.31</v>
      </c>
      <c r="I31" s="188"/>
      <c r="J31" s="188">
        <f t="shared" si="2"/>
        <v>3373659.31</v>
      </c>
      <c r="K31" s="188"/>
    </row>
    <row r="32" spans="1:11" x14ac:dyDescent="0.2">
      <c r="A32" s="196" t="s">
        <v>129</v>
      </c>
      <c r="B32" s="191">
        <v>0</v>
      </c>
      <c r="C32" s="191">
        <v>0</v>
      </c>
      <c r="D32" s="193">
        <v>3</v>
      </c>
      <c r="E32" s="186">
        <f t="shared" si="0"/>
        <v>0</v>
      </c>
      <c r="F32" s="191">
        <v>0</v>
      </c>
      <c r="G32" s="186">
        <v>0</v>
      </c>
      <c r="H32" s="188">
        <f t="shared" si="1"/>
        <v>0</v>
      </c>
      <c r="I32" s="188"/>
      <c r="J32" s="188">
        <f t="shared" si="2"/>
        <v>0</v>
      </c>
      <c r="K32" s="188"/>
    </row>
    <row r="33" spans="1:11" x14ac:dyDescent="0.2">
      <c r="A33" s="196" t="s">
        <v>130</v>
      </c>
      <c r="B33" s="191">
        <v>0</v>
      </c>
      <c r="C33" s="191">
        <v>0</v>
      </c>
      <c r="D33" s="193">
        <v>3</v>
      </c>
      <c r="E33" s="186">
        <f t="shared" si="0"/>
        <v>0</v>
      </c>
      <c r="F33" s="186">
        <v>2664.84</v>
      </c>
      <c r="G33" s="186">
        <v>145917.01</v>
      </c>
      <c r="H33" s="188">
        <f t="shared" si="1"/>
        <v>148581.85</v>
      </c>
      <c r="I33" s="188"/>
      <c r="J33" s="188">
        <f t="shared" si="2"/>
        <v>148581.85</v>
      </c>
      <c r="K33" s="188"/>
    </row>
    <row r="34" spans="1:11" x14ac:dyDescent="0.2">
      <c r="A34" s="196" t="s">
        <v>131</v>
      </c>
      <c r="B34" s="191">
        <v>0</v>
      </c>
      <c r="C34" s="191">
        <v>0</v>
      </c>
      <c r="D34" s="193">
        <v>3</v>
      </c>
      <c r="E34" s="186">
        <f t="shared" si="0"/>
        <v>0</v>
      </c>
      <c r="F34" s="186">
        <v>16200</v>
      </c>
      <c r="G34" s="186">
        <v>285960</v>
      </c>
      <c r="H34" s="188">
        <f t="shared" si="1"/>
        <v>302160</v>
      </c>
      <c r="I34" s="188"/>
      <c r="J34" s="188">
        <f t="shared" si="2"/>
        <v>302160</v>
      </c>
      <c r="K34" s="188"/>
    </row>
    <row r="35" spans="1:11" x14ac:dyDescent="0.2">
      <c r="A35" s="196" t="s">
        <v>287</v>
      </c>
      <c r="B35" s="191">
        <v>0</v>
      </c>
      <c r="C35" s="191">
        <v>0</v>
      </c>
      <c r="D35" s="193">
        <v>3</v>
      </c>
      <c r="E35" s="186">
        <f t="shared" ref="E35:E66" si="3">+B35+C35</f>
        <v>0</v>
      </c>
      <c r="F35" s="191">
        <v>0</v>
      </c>
      <c r="G35" s="186">
        <v>0</v>
      </c>
      <c r="H35" s="188">
        <f t="shared" ref="H35:H66" si="4">+G35+F35+E35</f>
        <v>0</v>
      </c>
      <c r="I35" s="188"/>
      <c r="J35" s="188">
        <f t="shared" ref="J35:J66" si="5">+I35+H35</f>
        <v>0</v>
      </c>
      <c r="K35" s="188"/>
    </row>
    <row r="36" spans="1:11" x14ac:dyDescent="0.2">
      <c r="A36" s="189" t="s">
        <v>132</v>
      </c>
      <c r="B36" s="191">
        <v>181040</v>
      </c>
      <c r="C36" s="191">
        <v>0</v>
      </c>
      <c r="D36" s="190">
        <v>1</v>
      </c>
      <c r="E36" s="186">
        <f t="shared" si="3"/>
        <v>181040</v>
      </c>
      <c r="F36" s="186">
        <v>0</v>
      </c>
      <c r="G36" s="186">
        <v>0</v>
      </c>
      <c r="H36" s="188">
        <f t="shared" si="4"/>
        <v>181040</v>
      </c>
      <c r="I36" s="188"/>
      <c r="J36" s="188">
        <f t="shared" si="5"/>
        <v>181040</v>
      </c>
      <c r="K36" s="188"/>
    </row>
    <row r="37" spans="1:11" x14ac:dyDescent="0.2">
      <c r="A37" s="196" t="s">
        <v>133</v>
      </c>
      <c r="B37" s="191">
        <v>562646.25</v>
      </c>
      <c r="C37" s="191">
        <v>0</v>
      </c>
      <c r="D37" s="193">
        <v>3</v>
      </c>
      <c r="E37" s="186">
        <f t="shared" si="3"/>
        <v>562646.25</v>
      </c>
      <c r="F37" s="191">
        <v>350678.38</v>
      </c>
      <c r="G37" s="186">
        <v>1338828.3899999999</v>
      </c>
      <c r="H37" s="188">
        <f t="shared" si="4"/>
        <v>2252153.02</v>
      </c>
      <c r="I37" s="188"/>
      <c r="J37" s="188">
        <f t="shared" si="5"/>
        <v>2252153.02</v>
      </c>
      <c r="K37" s="188"/>
    </row>
    <row r="38" spans="1:11" x14ac:dyDescent="0.2">
      <c r="A38" s="196" t="s">
        <v>134</v>
      </c>
      <c r="B38" s="191">
        <v>0</v>
      </c>
      <c r="C38" s="191">
        <v>0</v>
      </c>
      <c r="D38" s="193">
        <v>3</v>
      </c>
      <c r="E38" s="186">
        <f t="shared" si="3"/>
        <v>0</v>
      </c>
      <c r="F38" s="191">
        <v>0</v>
      </c>
      <c r="G38" s="186">
        <v>34107.01</v>
      </c>
      <c r="H38" s="188">
        <f t="shared" si="4"/>
        <v>34107.01</v>
      </c>
      <c r="I38" s="188"/>
      <c r="J38" s="188">
        <f t="shared" si="5"/>
        <v>34107.01</v>
      </c>
      <c r="K38" s="188"/>
    </row>
    <row r="39" spans="1:11" x14ac:dyDescent="0.2">
      <c r="A39" s="181" t="s">
        <v>135</v>
      </c>
      <c r="B39" s="191">
        <v>4003625.76</v>
      </c>
      <c r="C39" s="191">
        <v>0</v>
      </c>
      <c r="D39" s="182">
        <v>2</v>
      </c>
      <c r="E39" s="186">
        <f t="shared" si="3"/>
        <v>4003625.76</v>
      </c>
      <c r="F39" s="186">
        <v>677136.12</v>
      </c>
      <c r="G39" s="186">
        <v>9881769.5199999996</v>
      </c>
      <c r="H39" s="188">
        <f t="shared" si="4"/>
        <v>14562531.399999999</v>
      </c>
      <c r="I39" s="188"/>
      <c r="J39" s="188">
        <f t="shared" si="5"/>
        <v>14562531.399999999</v>
      </c>
      <c r="K39" s="188"/>
    </row>
    <row r="40" spans="1:11" x14ac:dyDescent="0.2">
      <c r="A40" s="196" t="s">
        <v>136</v>
      </c>
      <c r="B40" s="191">
        <v>201377.7</v>
      </c>
      <c r="C40" s="191">
        <v>0</v>
      </c>
      <c r="D40" s="193">
        <v>3</v>
      </c>
      <c r="E40" s="186">
        <f t="shared" si="3"/>
        <v>201377.7</v>
      </c>
      <c r="F40" s="186">
        <v>1149807.3799999999</v>
      </c>
      <c r="G40" s="186">
        <v>298889.01</v>
      </c>
      <c r="H40" s="188">
        <f t="shared" si="4"/>
        <v>1650074.0899999999</v>
      </c>
      <c r="I40" s="188"/>
      <c r="J40" s="188">
        <f t="shared" si="5"/>
        <v>1650074.0899999999</v>
      </c>
      <c r="K40" s="188"/>
    </row>
    <row r="41" spans="1:11" x14ac:dyDescent="0.2">
      <c r="A41" s="196" t="s">
        <v>137</v>
      </c>
      <c r="B41" s="191">
        <v>0</v>
      </c>
      <c r="C41" s="191">
        <v>0</v>
      </c>
      <c r="D41" s="193">
        <v>3</v>
      </c>
      <c r="E41" s="186">
        <f t="shared" si="3"/>
        <v>0</v>
      </c>
      <c r="F41" s="186">
        <v>217446</v>
      </c>
      <c r="G41" s="186">
        <v>0</v>
      </c>
      <c r="H41" s="188">
        <f t="shared" si="4"/>
        <v>217446</v>
      </c>
      <c r="I41" s="188"/>
      <c r="J41" s="188">
        <f t="shared" si="5"/>
        <v>217446</v>
      </c>
      <c r="K41" s="188"/>
    </row>
    <row r="42" spans="1:11" x14ac:dyDescent="0.2">
      <c r="A42" s="196" t="s">
        <v>288</v>
      </c>
      <c r="B42" s="191">
        <v>0</v>
      </c>
      <c r="C42" s="191">
        <v>0</v>
      </c>
      <c r="D42" s="193">
        <v>3</v>
      </c>
      <c r="E42" s="186">
        <f t="shared" si="3"/>
        <v>0</v>
      </c>
      <c r="F42" s="186">
        <v>0</v>
      </c>
      <c r="G42" s="186">
        <v>0</v>
      </c>
      <c r="H42" s="188">
        <f t="shared" si="4"/>
        <v>0</v>
      </c>
      <c r="I42" s="188"/>
      <c r="J42" s="188">
        <f t="shared" si="5"/>
        <v>0</v>
      </c>
      <c r="K42" s="188"/>
    </row>
    <row r="43" spans="1:11" x14ac:dyDescent="0.2">
      <c r="A43" s="189" t="s">
        <v>138</v>
      </c>
      <c r="B43" s="191">
        <v>1096687</v>
      </c>
      <c r="C43" s="191">
        <v>0</v>
      </c>
      <c r="D43" s="190">
        <v>1</v>
      </c>
      <c r="E43" s="186">
        <f t="shared" si="3"/>
        <v>1096687</v>
      </c>
      <c r="F43" s="191">
        <v>0</v>
      </c>
      <c r="G43" s="186">
        <v>278668.71000000002</v>
      </c>
      <c r="H43" s="188">
        <f t="shared" si="4"/>
        <v>1375355.71</v>
      </c>
      <c r="I43" s="188"/>
      <c r="J43" s="188">
        <f t="shared" si="5"/>
        <v>1375355.71</v>
      </c>
      <c r="K43" s="188"/>
    </row>
    <row r="44" spans="1:11" x14ac:dyDescent="0.2">
      <c r="A44" s="189" t="s">
        <v>289</v>
      </c>
      <c r="B44" s="191">
        <v>12960</v>
      </c>
      <c r="C44" s="191">
        <v>6286.5</v>
      </c>
      <c r="D44" s="190">
        <v>1</v>
      </c>
      <c r="E44" s="186">
        <f t="shared" si="3"/>
        <v>19246.5</v>
      </c>
      <c r="F44" s="191">
        <v>0</v>
      </c>
      <c r="G44" s="186">
        <v>216293</v>
      </c>
      <c r="H44" s="188">
        <f t="shared" si="4"/>
        <v>235539.5</v>
      </c>
      <c r="I44" s="188"/>
      <c r="J44" s="188">
        <f t="shared" si="5"/>
        <v>235539.5</v>
      </c>
      <c r="K44" s="188"/>
    </row>
    <row r="45" spans="1:11" x14ac:dyDescent="0.2">
      <c r="A45" s="189" t="s">
        <v>139</v>
      </c>
      <c r="B45" s="191">
        <f>74822898.55+21656376.85+78373717.49+11118125.54+5057386.33+36631.06+38030</f>
        <v>191103165.81999999</v>
      </c>
      <c r="C45" s="191">
        <f>50233437.27+31394.87+44072695.35+32562.95+44947.16</f>
        <v>94415037.600000009</v>
      </c>
      <c r="D45" s="190">
        <v>1</v>
      </c>
      <c r="E45" s="186">
        <f t="shared" si="3"/>
        <v>285518203.42000002</v>
      </c>
      <c r="F45" s="186">
        <v>4958696.91</v>
      </c>
      <c r="G45" s="191">
        <f>68808043.34+7780.26</f>
        <v>68815823.600000009</v>
      </c>
      <c r="H45" s="188">
        <f t="shared" si="4"/>
        <v>359292723.93000001</v>
      </c>
      <c r="I45" s="188">
        <f>7829242.36-1561304.36-52512.5</f>
        <v>6215425.5</v>
      </c>
      <c r="J45" s="188">
        <f t="shared" si="5"/>
        <v>365508149.43000001</v>
      </c>
      <c r="K45" s="188"/>
    </row>
    <row r="46" spans="1:11" x14ac:dyDescent="0.2">
      <c r="A46" s="196" t="s">
        <v>140</v>
      </c>
      <c r="B46" s="191">
        <v>0</v>
      </c>
      <c r="C46" s="191">
        <v>0</v>
      </c>
      <c r="D46" s="193">
        <v>3</v>
      </c>
      <c r="E46" s="186">
        <f t="shared" si="3"/>
        <v>0</v>
      </c>
      <c r="F46" s="191">
        <v>0</v>
      </c>
      <c r="G46" s="186">
        <v>15600</v>
      </c>
      <c r="H46" s="188">
        <f t="shared" si="4"/>
        <v>15600</v>
      </c>
      <c r="I46" s="188"/>
      <c r="J46" s="188">
        <f t="shared" si="5"/>
        <v>15600</v>
      </c>
      <c r="K46" s="188"/>
    </row>
    <row r="47" spans="1:11" x14ac:dyDescent="0.2">
      <c r="A47" s="196" t="s">
        <v>141</v>
      </c>
      <c r="B47" s="191">
        <v>16000</v>
      </c>
      <c r="C47" s="191">
        <v>0</v>
      </c>
      <c r="D47" s="193">
        <v>3</v>
      </c>
      <c r="E47" s="186">
        <f t="shared" si="3"/>
        <v>16000</v>
      </c>
      <c r="F47" s="186">
        <v>0</v>
      </c>
      <c r="G47" s="186">
        <v>3736677.53</v>
      </c>
      <c r="H47" s="188">
        <f t="shared" si="4"/>
        <v>3752677.53</v>
      </c>
      <c r="I47" s="188"/>
      <c r="J47" s="188">
        <f t="shared" si="5"/>
        <v>3752677.53</v>
      </c>
      <c r="K47" s="188"/>
    </row>
    <row r="48" spans="1:11" x14ac:dyDescent="0.2">
      <c r="A48" s="196" t="s">
        <v>142</v>
      </c>
      <c r="B48" s="191">
        <v>0</v>
      </c>
      <c r="C48" s="191">
        <v>0</v>
      </c>
      <c r="D48" s="193">
        <v>3</v>
      </c>
      <c r="E48" s="186">
        <f t="shared" si="3"/>
        <v>0</v>
      </c>
      <c r="F48" s="186">
        <v>70299.86</v>
      </c>
      <c r="G48" s="186">
        <v>0</v>
      </c>
      <c r="H48" s="188">
        <f t="shared" si="4"/>
        <v>70299.86</v>
      </c>
      <c r="I48" s="188"/>
      <c r="J48" s="188">
        <f t="shared" si="5"/>
        <v>70299.86</v>
      </c>
      <c r="K48" s="188"/>
    </row>
    <row r="49" spans="1:11" x14ac:dyDescent="0.2">
      <c r="A49" s="189" t="s">
        <v>143</v>
      </c>
      <c r="B49" s="191">
        <v>22567.5</v>
      </c>
      <c r="C49" s="191">
        <v>0</v>
      </c>
      <c r="D49" s="190">
        <v>1</v>
      </c>
      <c r="E49" s="186">
        <f t="shared" si="3"/>
        <v>22567.5</v>
      </c>
      <c r="F49" s="186">
        <v>0</v>
      </c>
      <c r="G49" s="186">
        <v>0</v>
      </c>
      <c r="H49" s="188">
        <f t="shared" si="4"/>
        <v>22567.5</v>
      </c>
      <c r="I49" s="188"/>
      <c r="J49" s="188">
        <f t="shared" si="5"/>
        <v>22567.5</v>
      </c>
      <c r="K49" s="188"/>
    </row>
    <row r="50" spans="1:11" x14ac:dyDescent="0.2">
      <c r="A50" s="189" t="s">
        <v>144</v>
      </c>
      <c r="B50" s="191">
        <v>29715037.399999999</v>
      </c>
      <c r="C50" s="191">
        <f>9137774.93+8583754.13</f>
        <v>17721529.060000002</v>
      </c>
      <c r="D50" s="190">
        <v>1</v>
      </c>
      <c r="E50" s="186">
        <f t="shared" si="3"/>
        <v>47436566.460000001</v>
      </c>
      <c r="F50" s="186">
        <v>3503694.22</v>
      </c>
      <c r="G50" s="186">
        <v>13516148.859999999</v>
      </c>
      <c r="H50" s="188">
        <f t="shared" si="4"/>
        <v>64456409.539999999</v>
      </c>
      <c r="I50" s="188">
        <f>15087298.93-14079434.64</f>
        <v>1007864.2899999991</v>
      </c>
      <c r="J50" s="188">
        <f t="shared" si="5"/>
        <v>65464273.829999998</v>
      </c>
      <c r="K50" s="188"/>
    </row>
    <row r="51" spans="1:11" x14ac:dyDescent="0.2">
      <c r="A51" s="196" t="s">
        <v>290</v>
      </c>
      <c r="B51" s="191">
        <v>0</v>
      </c>
      <c r="C51" s="191">
        <v>0</v>
      </c>
      <c r="D51" s="193">
        <v>3</v>
      </c>
      <c r="E51" s="186">
        <f t="shared" si="3"/>
        <v>0</v>
      </c>
      <c r="F51" s="191">
        <v>0</v>
      </c>
      <c r="G51" s="186">
        <v>0</v>
      </c>
      <c r="H51" s="188">
        <f t="shared" si="4"/>
        <v>0</v>
      </c>
      <c r="I51" s="188"/>
      <c r="J51" s="188">
        <f t="shared" si="5"/>
        <v>0</v>
      </c>
      <c r="K51" s="188"/>
    </row>
    <row r="52" spans="1:11" x14ac:dyDescent="0.2">
      <c r="A52" s="196" t="s">
        <v>291</v>
      </c>
      <c r="B52" s="191">
        <v>0</v>
      </c>
      <c r="C52" s="191">
        <v>0</v>
      </c>
      <c r="D52" s="193">
        <v>3</v>
      </c>
      <c r="E52" s="186">
        <f t="shared" si="3"/>
        <v>0</v>
      </c>
      <c r="F52" s="191">
        <v>0</v>
      </c>
      <c r="G52" s="186">
        <v>0</v>
      </c>
      <c r="H52" s="188">
        <f t="shared" si="4"/>
        <v>0</v>
      </c>
      <c r="I52" s="188"/>
      <c r="J52" s="188">
        <f t="shared" si="5"/>
        <v>0</v>
      </c>
      <c r="K52" s="188"/>
    </row>
    <row r="53" spans="1:11" x14ac:dyDescent="0.2">
      <c r="A53" s="196" t="s">
        <v>145</v>
      </c>
      <c r="B53" s="191">
        <v>14880</v>
      </c>
      <c r="C53" s="191">
        <v>0</v>
      </c>
      <c r="D53" s="193">
        <v>3</v>
      </c>
      <c r="E53" s="186">
        <f t="shared" si="3"/>
        <v>14880</v>
      </c>
      <c r="F53" s="191">
        <v>0</v>
      </c>
      <c r="G53" s="186">
        <v>0</v>
      </c>
      <c r="H53" s="188">
        <f t="shared" si="4"/>
        <v>14880</v>
      </c>
      <c r="I53" s="188"/>
      <c r="J53" s="188">
        <f t="shared" si="5"/>
        <v>14880</v>
      </c>
      <c r="K53" s="188"/>
    </row>
    <row r="54" spans="1:11" x14ac:dyDescent="0.2">
      <c r="A54" s="189" t="s">
        <v>146</v>
      </c>
      <c r="B54" s="191">
        <v>1144973.3999999999</v>
      </c>
      <c r="C54" s="191">
        <f>1299935+298455</f>
        <v>1598390</v>
      </c>
      <c r="D54" s="190">
        <v>1</v>
      </c>
      <c r="E54" s="186">
        <f t="shared" si="3"/>
        <v>2743363.4</v>
      </c>
      <c r="F54" s="186">
        <v>292225</v>
      </c>
      <c r="G54" s="186">
        <v>314473</v>
      </c>
      <c r="H54" s="188">
        <f t="shared" si="4"/>
        <v>3350061.4</v>
      </c>
      <c r="I54" s="188"/>
      <c r="J54" s="188">
        <f t="shared" si="5"/>
        <v>3350061.4</v>
      </c>
      <c r="K54" s="188"/>
    </row>
    <row r="55" spans="1:11" x14ac:dyDescent="0.2">
      <c r="A55" s="196" t="s">
        <v>147</v>
      </c>
      <c r="B55" s="191">
        <v>0</v>
      </c>
      <c r="C55" s="191">
        <v>0</v>
      </c>
      <c r="D55" s="193">
        <v>3</v>
      </c>
      <c r="E55" s="186">
        <f t="shared" si="3"/>
        <v>0</v>
      </c>
      <c r="F55" s="186">
        <v>0</v>
      </c>
      <c r="G55" s="186">
        <v>0</v>
      </c>
      <c r="H55" s="188">
        <f t="shared" si="4"/>
        <v>0</v>
      </c>
      <c r="I55" s="188"/>
      <c r="J55" s="188">
        <f t="shared" si="5"/>
        <v>0</v>
      </c>
      <c r="K55" s="188"/>
    </row>
    <row r="56" spans="1:11" x14ac:dyDescent="0.2">
      <c r="A56" s="196" t="s">
        <v>292</v>
      </c>
      <c r="B56" s="191">
        <v>82920</v>
      </c>
      <c r="C56" s="191">
        <v>0</v>
      </c>
      <c r="D56" s="193">
        <v>3</v>
      </c>
      <c r="E56" s="186">
        <f t="shared" si="3"/>
        <v>82920</v>
      </c>
      <c r="F56" s="191">
        <v>0</v>
      </c>
      <c r="G56" s="186">
        <v>0</v>
      </c>
      <c r="H56" s="188">
        <f t="shared" si="4"/>
        <v>82920</v>
      </c>
      <c r="I56" s="188"/>
      <c r="J56" s="188">
        <f t="shared" si="5"/>
        <v>82920</v>
      </c>
      <c r="K56" s="188"/>
    </row>
    <row r="57" spans="1:11" x14ac:dyDescent="0.2">
      <c r="A57" s="196" t="s">
        <v>148</v>
      </c>
      <c r="B57" s="191">
        <v>0</v>
      </c>
      <c r="C57" s="191">
        <v>0</v>
      </c>
      <c r="D57" s="193">
        <v>3</v>
      </c>
      <c r="E57" s="186">
        <f t="shared" si="3"/>
        <v>0</v>
      </c>
      <c r="F57" s="191">
        <v>0</v>
      </c>
      <c r="G57" s="186">
        <v>0</v>
      </c>
      <c r="H57" s="188">
        <f t="shared" si="4"/>
        <v>0</v>
      </c>
      <c r="I57" s="188"/>
      <c r="J57" s="188">
        <f t="shared" si="5"/>
        <v>0</v>
      </c>
      <c r="K57" s="188"/>
    </row>
    <row r="58" spans="1:11" x14ac:dyDescent="0.2">
      <c r="A58" s="196" t="s">
        <v>293</v>
      </c>
      <c r="B58" s="191">
        <v>0</v>
      </c>
      <c r="C58" s="191">
        <v>0</v>
      </c>
      <c r="D58" s="193">
        <v>3</v>
      </c>
      <c r="E58" s="186">
        <f t="shared" si="3"/>
        <v>0</v>
      </c>
      <c r="F58" s="191">
        <v>0</v>
      </c>
      <c r="G58" s="186">
        <v>0</v>
      </c>
      <c r="H58" s="188">
        <f t="shared" si="4"/>
        <v>0</v>
      </c>
      <c r="I58" s="188"/>
      <c r="J58" s="188">
        <f t="shared" si="5"/>
        <v>0</v>
      </c>
      <c r="K58" s="188"/>
    </row>
    <row r="59" spans="1:11" x14ac:dyDescent="0.2">
      <c r="A59" s="196" t="s">
        <v>149</v>
      </c>
      <c r="B59" s="191">
        <v>52320</v>
      </c>
      <c r="C59" s="191">
        <v>0</v>
      </c>
      <c r="D59" s="193">
        <v>3</v>
      </c>
      <c r="E59" s="186">
        <f t="shared" si="3"/>
        <v>52320</v>
      </c>
      <c r="F59" s="191">
        <v>0</v>
      </c>
      <c r="G59" s="186">
        <v>0</v>
      </c>
      <c r="H59" s="188">
        <f t="shared" si="4"/>
        <v>52320</v>
      </c>
      <c r="I59" s="188"/>
      <c r="J59" s="188">
        <f t="shared" si="5"/>
        <v>52320</v>
      </c>
      <c r="K59" s="188"/>
    </row>
    <row r="60" spans="1:11" x14ac:dyDescent="0.2">
      <c r="A60" s="196" t="s">
        <v>294</v>
      </c>
      <c r="B60" s="191">
        <v>0</v>
      </c>
      <c r="C60" s="191">
        <v>0</v>
      </c>
      <c r="D60" s="193">
        <v>3</v>
      </c>
      <c r="E60" s="186">
        <f t="shared" si="3"/>
        <v>0</v>
      </c>
      <c r="F60" s="191">
        <v>0</v>
      </c>
      <c r="G60" s="186">
        <v>0</v>
      </c>
      <c r="H60" s="188">
        <f t="shared" si="4"/>
        <v>0</v>
      </c>
      <c r="I60" s="188"/>
      <c r="J60" s="188">
        <f t="shared" si="5"/>
        <v>0</v>
      </c>
      <c r="K60" s="188"/>
    </row>
    <row r="61" spans="1:11" x14ac:dyDescent="0.2">
      <c r="A61" s="196" t="s">
        <v>150</v>
      </c>
      <c r="B61" s="191">
        <v>294757.31</v>
      </c>
      <c r="C61" s="191">
        <v>0</v>
      </c>
      <c r="D61" s="193">
        <v>3</v>
      </c>
      <c r="E61" s="186">
        <f t="shared" si="3"/>
        <v>294757.31</v>
      </c>
      <c r="F61" s="186">
        <v>1943597.11</v>
      </c>
      <c r="G61" s="186">
        <v>0</v>
      </c>
      <c r="H61" s="188">
        <f t="shared" si="4"/>
        <v>2238354.42</v>
      </c>
      <c r="I61" s="188"/>
      <c r="J61" s="188">
        <f t="shared" si="5"/>
        <v>2238354.42</v>
      </c>
      <c r="K61" s="188"/>
    </row>
    <row r="62" spans="1:11" x14ac:dyDescent="0.2">
      <c r="A62" s="189" t="s">
        <v>151</v>
      </c>
      <c r="B62" s="191">
        <v>0</v>
      </c>
      <c r="C62" s="191">
        <v>0</v>
      </c>
      <c r="D62" s="190">
        <v>1</v>
      </c>
      <c r="E62" s="186">
        <f t="shared" si="3"/>
        <v>0</v>
      </c>
      <c r="F62" s="186">
        <v>0</v>
      </c>
      <c r="G62" s="186">
        <v>0</v>
      </c>
      <c r="H62" s="188">
        <f t="shared" si="4"/>
        <v>0</v>
      </c>
      <c r="I62" s="188"/>
      <c r="J62" s="188">
        <f t="shared" si="5"/>
        <v>0</v>
      </c>
      <c r="K62" s="188"/>
    </row>
    <row r="63" spans="1:11" x14ac:dyDescent="0.2">
      <c r="A63" s="189" t="s">
        <v>152</v>
      </c>
      <c r="B63" s="191">
        <v>41496</v>
      </c>
      <c r="C63" s="191">
        <v>0</v>
      </c>
      <c r="D63" s="190">
        <v>1</v>
      </c>
      <c r="E63" s="186">
        <f t="shared" si="3"/>
        <v>41496</v>
      </c>
      <c r="F63" s="191">
        <v>0</v>
      </c>
      <c r="G63" s="186">
        <v>584443.1</v>
      </c>
      <c r="H63" s="188">
        <f t="shared" si="4"/>
        <v>625939.1</v>
      </c>
      <c r="I63" s="188"/>
      <c r="J63" s="188">
        <f t="shared" si="5"/>
        <v>625939.1</v>
      </c>
      <c r="K63" s="188"/>
    </row>
    <row r="64" spans="1:11" x14ac:dyDescent="0.2">
      <c r="A64" s="196" t="s">
        <v>153</v>
      </c>
      <c r="B64" s="191">
        <v>14205.08</v>
      </c>
      <c r="C64" s="191">
        <v>0</v>
      </c>
      <c r="D64" s="193">
        <v>3</v>
      </c>
      <c r="E64" s="186">
        <f t="shared" si="3"/>
        <v>14205.08</v>
      </c>
      <c r="F64" s="186">
        <v>312389.24</v>
      </c>
      <c r="G64" s="186">
        <v>1339392.6000000001</v>
      </c>
      <c r="H64" s="188">
        <f t="shared" si="4"/>
        <v>1665986.9200000002</v>
      </c>
      <c r="I64" s="188"/>
      <c r="J64" s="188">
        <f t="shared" si="5"/>
        <v>1665986.9200000002</v>
      </c>
      <c r="K64" s="188"/>
    </row>
    <row r="65" spans="1:11" x14ac:dyDescent="0.2">
      <c r="A65" s="196" t="s">
        <v>154</v>
      </c>
      <c r="B65" s="191">
        <v>0</v>
      </c>
      <c r="C65" s="191">
        <v>0</v>
      </c>
      <c r="D65" s="193">
        <v>3</v>
      </c>
      <c r="E65" s="186">
        <f t="shared" si="3"/>
        <v>0</v>
      </c>
      <c r="F65" s="186">
        <v>7231329.5800000001</v>
      </c>
      <c r="G65" s="186">
        <f>9365845.67-1582.14</f>
        <v>9364263.5299999993</v>
      </c>
      <c r="H65" s="188">
        <f t="shared" si="4"/>
        <v>16595593.109999999</v>
      </c>
      <c r="I65" s="188"/>
      <c r="J65" s="188">
        <f t="shared" si="5"/>
        <v>16595593.109999999</v>
      </c>
      <c r="K65" s="188"/>
    </row>
    <row r="66" spans="1:11" x14ac:dyDescent="0.2">
      <c r="A66" s="196" t="s">
        <v>155</v>
      </c>
      <c r="B66" s="191">
        <v>110437.5</v>
      </c>
      <c r="C66" s="191">
        <v>0</v>
      </c>
      <c r="D66" s="193">
        <v>3</v>
      </c>
      <c r="E66" s="186">
        <f t="shared" si="3"/>
        <v>110437.5</v>
      </c>
      <c r="F66" s="186">
        <v>0</v>
      </c>
      <c r="G66" s="186">
        <v>327366.06</v>
      </c>
      <c r="H66" s="188">
        <f t="shared" si="4"/>
        <v>437803.56</v>
      </c>
      <c r="I66" s="188"/>
      <c r="J66" s="188">
        <f t="shared" si="5"/>
        <v>437803.56</v>
      </c>
      <c r="K66" s="188"/>
    </row>
    <row r="67" spans="1:11" x14ac:dyDescent="0.2">
      <c r="A67" s="196" t="s">
        <v>295</v>
      </c>
      <c r="B67" s="191">
        <v>0</v>
      </c>
      <c r="C67" s="191">
        <v>0</v>
      </c>
      <c r="D67" s="193">
        <v>3</v>
      </c>
      <c r="E67" s="186">
        <f t="shared" ref="E67:E98" si="6">+B67+C67</f>
        <v>0</v>
      </c>
      <c r="F67" s="186">
        <v>33349.050000000003</v>
      </c>
      <c r="G67" s="186">
        <v>0</v>
      </c>
      <c r="H67" s="188">
        <f t="shared" ref="H67:H98" si="7">+G67+F67+E67</f>
        <v>33349.050000000003</v>
      </c>
      <c r="I67" s="188"/>
      <c r="J67" s="188">
        <f t="shared" ref="J67:J98" si="8">+I67+H67</f>
        <v>33349.050000000003</v>
      </c>
      <c r="K67" s="188"/>
    </row>
    <row r="68" spans="1:11" x14ac:dyDescent="0.2">
      <c r="A68" s="189" t="s">
        <v>156</v>
      </c>
      <c r="B68" s="191">
        <v>100712</v>
      </c>
      <c r="C68" s="191">
        <v>0</v>
      </c>
      <c r="D68" s="190">
        <v>1</v>
      </c>
      <c r="E68" s="186">
        <f t="shared" si="6"/>
        <v>100712</v>
      </c>
      <c r="F68" s="186">
        <v>29250</v>
      </c>
      <c r="G68" s="186">
        <v>1516937.74</v>
      </c>
      <c r="H68" s="188">
        <f t="shared" si="7"/>
        <v>1646899.74</v>
      </c>
      <c r="I68" s="188"/>
      <c r="J68" s="188">
        <f t="shared" si="8"/>
        <v>1646899.74</v>
      </c>
      <c r="K68" s="188"/>
    </row>
    <row r="69" spans="1:11" x14ac:dyDescent="0.2">
      <c r="A69" s="194" t="s">
        <v>296</v>
      </c>
      <c r="B69" s="191">
        <v>0</v>
      </c>
      <c r="C69" s="191">
        <v>0</v>
      </c>
      <c r="D69" s="195">
        <v>3</v>
      </c>
      <c r="E69" s="186">
        <f t="shared" si="6"/>
        <v>0</v>
      </c>
      <c r="F69" s="191">
        <v>0</v>
      </c>
      <c r="G69" s="186">
        <v>0</v>
      </c>
      <c r="H69" s="188">
        <f t="shared" si="7"/>
        <v>0</v>
      </c>
      <c r="I69" s="188"/>
      <c r="J69" s="188">
        <f t="shared" si="8"/>
        <v>0</v>
      </c>
      <c r="K69" s="188"/>
    </row>
    <row r="70" spans="1:11" x14ac:dyDescent="0.2">
      <c r="A70" s="181" t="s">
        <v>297</v>
      </c>
      <c r="B70" s="191">
        <v>0</v>
      </c>
      <c r="C70" s="191">
        <v>0</v>
      </c>
      <c r="D70" s="182">
        <v>2</v>
      </c>
      <c r="E70" s="186">
        <f t="shared" si="6"/>
        <v>0</v>
      </c>
      <c r="F70" s="191">
        <v>0</v>
      </c>
      <c r="G70" s="186">
        <v>0</v>
      </c>
      <c r="H70" s="188">
        <f t="shared" si="7"/>
        <v>0</v>
      </c>
      <c r="I70" s="188"/>
      <c r="J70" s="188">
        <f t="shared" si="8"/>
        <v>0</v>
      </c>
      <c r="K70" s="188"/>
    </row>
    <row r="71" spans="1:11" x14ac:dyDescent="0.2">
      <c r="A71" s="194" t="s">
        <v>298</v>
      </c>
      <c r="B71" s="191">
        <v>0</v>
      </c>
      <c r="C71" s="191">
        <v>0</v>
      </c>
      <c r="D71" s="195">
        <v>3</v>
      </c>
      <c r="E71" s="186">
        <f t="shared" si="6"/>
        <v>0</v>
      </c>
      <c r="F71" s="191">
        <v>0</v>
      </c>
      <c r="G71" s="186">
        <v>0</v>
      </c>
      <c r="H71" s="188">
        <f t="shared" si="7"/>
        <v>0</v>
      </c>
      <c r="I71" s="188"/>
      <c r="J71" s="188">
        <f t="shared" si="8"/>
        <v>0</v>
      </c>
      <c r="K71" s="188"/>
    </row>
    <row r="72" spans="1:11" x14ac:dyDescent="0.2">
      <c r="A72" s="194" t="s">
        <v>157</v>
      </c>
      <c r="B72" s="191">
        <f>492320.27+35973.39</f>
        <v>528293.66</v>
      </c>
      <c r="C72" s="191">
        <v>0</v>
      </c>
      <c r="D72" s="195">
        <v>3</v>
      </c>
      <c r="E72" s="186">
        <f t="shared" si="6"/>
        <v>528293.66</v>
      </c>
      <c r="F72" s="186">
        <v>102126.04</v>
      </c>
      <c r="G72" s="186">
        <v>703475.78</v>
      </c>
      <c r="H72" s="188">
        <f t="shared" si="7"/>
        <v>1333895.48</v>
      </c>
      <c r="I72" s="188"/>
      <c r="J72" s="188">
        <f t="shared" si="8"/>
        <v>1333895.48</v>
      </c>
      <c r="K72" s="188"/>
    </row>
    <row r="73" spans="1:11" x14ac:dyDescent="0.2">
      <c r="A73" s="189" t="s">
        <v>158</v>
      </c>
      <c r="B73" s="191">
        <v>14963497.51</v>
      </c>
      <c r="C73" s="191">
        <f>6568835.28+6175964.61</f>
        <v>12744799.890000001</v>
      </c>
      <c r="D73" s="190">
        <v>1</v>
      </c>
      <c r="E73" s="186">
        <f t="shared" si="6"/>
        <v>27708297.399999999</v>
      </c>
      <c r="F73" s="186">
        <v>10309464.74</v>
      </c>
      <c r="G73" s="186">
        <v>2540752.8199999998</v>
      </c>
      <c r="H73" s="188">
        <f t="shared" si="7"/>
        <v>40558514.960000001</v>
      </c>
      <c r="I73" s="188"/>
      <c r="J73" s="188">
        <f t="shared" si="8"/>
        <v>40558514.960000001</v>
      </c>
      <c r="K73" s="188"/>
    </row>
    <row r="74" spans="1:11" x14ac:dyDescent="0.2">
      <c r="A74" s="194" t="s">
        <v>159</v>
      </c>
      <c r="B74" s="191">
        <v>0</v>
      </c>
      <c r="C74" s="191">
        <v>0</v>
      </c>
      <c r="D74" s="183">
        <v>3</v>
      </c>
      <c r="E74" s="186">
        <f t="shared" si="6"/>
        <v>0</v>
      </c>
      <c r="F74" s="191">
        <v>0</v>
      </c>
      <c r="G74" s="186">
        <v>0</v>
      </c>
      <c r="H74" s="188">
        <f t="shared" si="7"/>
        <v>0</v>
      </c>
      <c r="I74" s="188"/>
      <c r="J74" s="188">
        <f t="shared" si="8"/>
        <v>0</v>
      </c>
      <c r="K74" s="188"/>
    </row>
    <row r="75" spans="1:11" x14ac:dyDescent="0.2">
      <c r="A75" s="181" t="s">
        <v>160</v>
      </c>
      <c r="B75" s="191">
        <v>0</v>
      </c>
      <c r="C75" s="191">
        <v>0</v>
      </c>
      <c r="D75" s="182">
        <v>2</v>
      </c>
      <c r="E75" s="186">
        <f t="shared" si="6"/>
        <v>0</v>
      </c>
      <c r="F75" s="186">
        <f>3340403.71-1740</f>
        <v>3338663.71</v>
      </c>
      <c r="G75" s="186">
        <v>2715815.99</v>
      </c>
      <c r="H75" s="188">
        <f t="shared" si="7"/>
        <v>6054479.7000000002</v>
      </c>
      <c r="I75" s="188"/>
      <c r="J75" s="188">
        <f t="shared" si="8"/>
        <v>6054479.7000000002</v>
      </c>
      <c r="K75" s="188"/>
    </row>
    <row r="76" spans="1:11" x14ac:dyDescent="0.2">
      <c r="A76" s="196" t="s">
        <v>161</v>
      </c>
      <c r="B76" s="191">
        <v>0</v>
      </c>
      <c r="C76" s="191">
        <v>0</v>
      </c>
      <c r="D76" s="193">
        <v>3</v>
      </c>
      <c r="E76" s="186">
        <f t="shared" si="6"/>
        <v>0</v>
      </c>
      <c r="F76" s="186">
        <v>1729314.43</v>
      </c>
      <c r="G76" s="186">
        <v>164469.16</v>
      </c>
      <c r="H76" s="188">
        <f t="shared" si="7"/>
        <v>1893783.5899999999</v>
      </c>
      <c r="I76" s="188"/>
      <c r="J76" s="188">
        <f t="shared" si="8"/>
        <v>1893783.5899999999</v>
      </c>
      <c r="K76" s="188"/>
    </row>
    <row r="77" spans="1:11" x14ac:dyDescent="0.2">
      <c r="A77" s="196" t="s">
        <v>162</v>
      </c>
      <c r="B77" s="191">
        <v>0</v>
      </c>
      <c r="C77" s="191">
        <v>0</v>
      </c>
      <c r="D77" s="193">
        <v>3</v>
      </c>
      <c r="E77" s="186">
        <f t="shared" si="6"/>
        <v>0</v>
      </c>
      <c r="F77" s="191">
        <v>0</v>
      </c>
      <c r="G77" s="186">
        <v>921975.77</v>
      </c>
      <c r="H77" s="188">
        <f t="shared" si="7"/>
        <v>921975.77</v>
      </c>
      <c r="I77" s="188"/>
      <c r="J77" s="188">
        <f t="shared" si="8"/>
        <v>921975.77</v>
      </c>
      <c r="K77" s="188"/>
    </row>
    <row r="78" spans="1:11" x14ac:dyDescent="0.2">
      <c r="A78" s="196" t="s">
        <v>299</v>
      </c>
      <c r="B78" s="191">
        <v>0</v>
      </c>
      <c r="C78" s="191">
        <v>0</v>
      </c>
      <c r="D78" s="193">
        <v>3</v>
      </c>
      <c r="E78" s="186">
        <f t="shared" si="6"/>
        <v>0</v>
      </c>
      <c r="F78" s="186">
        <v>0</v>
      </c>
      <c r="G78" s="186">
        <v>0</v>
      </c>
      <c r="H78" s="188">
        <f t="shared" si="7"/>
        <v>0</v>
      </c>
      <c r="I78" s="188"/>
      <c r="J78" s="188">
        <f t="shared" si="8"/>
        <v>0</v>
      </c>
      <c r="K78" s="188"/>
    </row>
    <row r="79" spans="1:11" x14ac:dyDescent="0.2">
      <c r="A79" s="196" t="s">
        <v>163</v>
      </c>
      <c r="B79" s="191">
        <v>34890.199999999997</v>
      </c>
      <c r="C79" s="191">
        <v>0</v>
      </c>
      <c r="D79" s="193">
        <v>3</v>
      </c>
      <c r="E79" s="186">
        <f t="shared" si="6"/>
        <v>34890.199999999997</v>
      </c>
      <c r="F79" s="191">
        <v>68003.710000000006</v>
      </c>
      <c r="G79" s="186">
        <v>306727.53999999998</v>
      </c>
      <c r="H79" s="188">
        <f t="shared" si="7"/>
        <v>409621.45</v>
      </c>
      <c r="I79" s="188"/>
      <c r="J79" s="188">
        <f t="shared" si="8"/>
        <v>409621.45</v>
      </c>
      <c r="K79" s="188"/>
    </row>
    <row r="80" spans="1:11" x14ac:dyDescent="0.2">
      <c r="A80" s="189" t="s">
        <v>164</v>
      </c>
      <c r="B80" s="191">
        <v>0</v>
      </c>
      <c r="C80" s="191">
        <f>2802096.01+2476027.38</f>
        <v>5278123.3899999997</v>
      </c>
      <c r="D80" s="190">
        <v>1</v>
      </c>
      <c r="E80" s="186">
        <f t="shared" si="6"/>
        <v>5278123.3899999997</v>
      </c>
      <c r="F80" s="191">
        <v>0</v>
      </c>
      <c r="G80" s="186">
        <v>0</v>
      </c>
      <c r="H80" s="188">
        <f t="shared" si="7"/>
        <v>5278123.3899999997</v>
      </c>
      <c r="I80" s="188"/>
      <c r="J80" s="188">
        <f t="shared" si="8"/>
        <v>5278123.3899999997</v>
      </c>
      <c r="K80" s="188"/>
    </row>
    <row r="81" spans="1:11" x14ac:dyDescent="0.2">
      <c r="A81" s="189" t="s">
        <v>165</v>
      </c>
      <c r="B81" s="191">
        <v>46080</v>
      </c>
      <c r="C81" s="191">
        <v>0</v>
      </c>
      <c r="D81" s="190">
        <v>1</v>
      </c>
      <c r="E81" s="186">
        <f t="shared" si="6"/>
        <v>46080</v>
      </c>
      <c r="F81" s="191">
        <v>0</v>
      </c>
      <c r="G81" s="186">
        <v>0</v>
      </c>
      <c r="H81" s="188">
        <f t="shared" si="7"/>
        <v>46080</v>
      </c>
      <c r="I81" s="188"/>
      <c r="J81" s="188">
        <f t="shared" si="8"/>
        <v>46080</v>
      </c>
      <c r="K81" s="188"/>
    </row>
    <row r="82" spans="1:11" x14ac:dyDescent="0.2">
      <c r="A82" s="196" t="s">
        <v>300</v>
      </c>
      <c r="B82" s="191">
        <v>0</v>
      </c>
      <c r="C82" s="191">
        <v>0</v>
      </c>
      <c r="D82" s="193">
        <v>3</v>
      </c>
      <c r="E82" s="186">
        <f t="shared" si="6"/>
        <v>0</v>
      </c>
      <c r="F82" s="191">
        <v>0</v>
      </c>
      <c r="G82" s="186">
        <v>0</v>
      </c>
      <c r="H82" s="188">
        <f t="shared" si="7"/>
        <v>0</v>
      </c>
      <c r="I82" s="188"/>
      <c r="J82" s="188">
        <f t="shared" si="8"/>
        <v>0</v>
      </c>
      <c r="K82" s="188"/>
    </row>
    <row r="83" spans="1:11" x14ac:dyDescent="0.2">
      <c r="A83" s="189" t="s">
        <v>166</v>
      </c>
      <c r="B83" s="191">
        <f>10500+28140</f>
        <v>38640</v>
      </c>
      <c r="C83" s="191">
        <v>0</v>
      </c>
      <c r="D83" s="190">
        <v>1</v>
      </c>
      <c r="E83" s="186">
        <f t="shared" si="6"/>
        <v>38640</v>
      </c>
      <c r="F83" s="191">
        <v>0</v>
      </c>
      <c r="G83" s="186">
        <v>0</v>
      </c>
      <c r="H83" s="188">
        <f t="shared" si="7"/>
        <v>38640</v>
      </c>
      <c r="I83" s="188"/>
      <c r="J83" s="188">
        <f t="shared" si="8"/>
        <v>38640</v>
      </c>
      <c r="K83" s="188"/>
    </row>
    <row r="84" spans="1:11" x14ac:dyDescent="0.2">
      <c r="A84" s="196" t="s">
        <v>167</v>
      </c>
      <c r="B84" s="191">
        <v>235352.15</v>
      </c>
      <c r="C84" s="191">
        <v>0</v>
      </c>
      <c r="D84" s="193">
        <v>3</v>
      </c>
      <c r="E84" s="186">
        <f t="shared" si="6"/>
        <v>235352.15</v>
      </c>
      <c r="F84" s="186">
        <v>77427.039999999994</v>
      </c>
      <c r="G84" s="186">
        <v>0</v>
      </c>
      <c r="H84" s="188">
        <f t="shared" si="7"/>
        <v>312779.19</v>
      </c>
      <c r="I84" s="188"/>
      <c r="J84" s="188">
        <f t="shared" si="8"/>
        <v>312779.19</v>
      </c>
      <c r="K84" s="188"/>
    </row>
    <row r="85" spans="1:11" x14ac:dyDescent="0.2">
      <c r="A85" s="196" t="s">
        <v>301</v>
      </c>
      <c r="B85" s="191">
        <v>0</v>
      </c>
      <c r="C85" s="191">
        <v>0</v>
      </c>
      <c r="D85" s="193">
        <v>3</v>
      </c>
      <c r="E85" s="186">
        <f t="shared" si="6"/>
        <v>0</v>
      </c>
      <c r="F85" s="186">
        <v>0</v>
      </c>
      <c r="G85" s="186">
        <v>0</v>
      </c>
      <c r="H85" s="188">
        <f t="shared" si="7"/>
        <v>0</v>
      </c>
      <c r="I85" s="188"/>
      <c r="J85" s="188">
        <f t="shared" si="8"/>
        <v>0</v>
      </c>
      <c r="K85" s="188"/>
    </row>
    <row r="86" spans="1:11" x14ac:dyDescent="0.2">
      <c r="A86" s="196" t="s">
        <v>302</v>
      </c>
      <c r="B86" s="191">
        <v>0</v>
      </c>
      <c r="C86" s="191">
        <v>0</v>
      </c>
      <c r="D86" s="193">
        <v>3</v>
      </c>
      <c r="E86" s="186">
        <f t="shared" si="6"/>
        <v>0</v>
      </c>
      <c r="F86" s="186">
        <v>0</v>
      </c>
      <c r="G86" s="186">
        <v>0</v>
      </c>
      <c r="H86" s="188">
        <f t="shared" si="7"/>
        <v>0</v>
      </c>
      <c r="I86" s="188"/>
      <c r="J86" s="188">
        <f t="shared" si="8"/>
        <v>0</v>
      </c>
      <c r="K86" s="188"/>
    </row>
    <row r="87" spans="1:11" x14ac:dyDescent="0.2">
      <c r="A87" s="196" t="s">
        <v>303</v>
      </c>
      <c r="B87" s="191">
        <v>0</v>
      </c>
      <c r="C87" s="191">
        <v>0</v>
      </c>
      <c r="D87" s="193">
        <v>3</v>
      </c>
      <c r="E87" s="186">
        <f t="shared" si="6"/>
        <v>0</v>
      </c>
      <c r="F87" s="191">
        <v>0</v>
      </c>
      <c r="G87" s="186">
        <v>0</v>
      </c>
      <c r="H87" s="188">
        <f t="shared" si="7"/>
        <v>0</v>
      </c>
      <c r="I87" s="188"/>
      <c r="J87" s="188">
        <f t="shared" si="8"/>
        <v>0</v>
      </c>
      <c r="K87" s="188"/>
    </row>
    <row r="88" spans="1:11" x14ac:dyDescent="0.2">
      <c r="A88" s="196" t="s">
        <v>168</v>
      </c>
      <c r="B88" s="191">
        <v>27360</v>
      </c>
      <c r="C88" s="191">
        <v>0</v>
      </c>
      <c r="D88" s="193">
        <v>3</v>
      </c>
      <c r="E88" s="186">
        <f t="shared" si="6"/>
        <v>27360</v>
      </c>
      <c r="F88" s="191">
        <v>0</v>
      </c>
      <c r="G88" s="186">
        <v>0</v>
      </c>
      <c r="H88" s="188">
        <f t="shared" si="7"/>
        <v>27360</v>
      </c>
      <c r="I88" s="188"/>
      <c r="J88" s="188">
        <f t="shared" si="8"/>
        <v>27360</v>
      </c>
      <c r="K88" s="188"/>
    </row>
    <row r="89" spans="1:11" x14ac:dyDescent="0.2">
      <c r="A89" s="196" t="s">
        <v>169</v>
      </c>
      <c r="B89" s="191">
        <v>351100.39</v>
      </c>
      <c r="C89" s="191">
        <v>0</v>
      </c>
      <c r="D89" s="193">
        <v>3</v>
      </c>
      <c r="E89" s="186">
        <f t="shared" si="6"/>
        <v>351100.39</v>
      </c>
      <c r="F89" s="186">
        <v>643014.43000000005</v>
      </c>
      <c r="G89" s="186">
        <v>220857.2</v>
      </c>
      <c r="H89" s="188">
        <f t="shared" si="7"/>
        <v>1214972.02</v>
      </c>
      <c r="I89" s="188"/>
      <c r="J89" s="188">
        <f t="shared" si="8"/>
        <v>1214972.02</v>
      </c>
      <c r="K89" s="188"/>
    </row>
    <row r="90" spans="1:11" x14ac:dyDescent="0.2">
      <c r="A90" s="196" t="s">
        <v>304</v>
      </c>
      <c r="B90" s="191">
        <v>0</v>
      </c>
      <c r="C90" s="191">
        <v>0</v>
      </c>
      <c r="D90" s="193">
        <v>3</v>
      </c>
      <c r="E90" s="186">
        <f t="shared" si="6"/>
        <v>0</v>
      </c>
      <c r="F90" s="191">
        <v>0</v>
      </c>
      <c r="G90" s="186">
        <v>289118.28000000003</v>
      </c>
      <c r="H90" s="188">
        <f t="shared" si="7"/>
        <v>289118.28000000003</v>
      </c>
      <c r="I90" s="188"/>
      <c r="J90" s="188">
        <f t="shared" si="8"/>
        <v>289118.28000000003</v>
      </c>
      <c r="K90" s="188"/>
    </row>
    <row r="91" spans="1:11" x14ac:dyDescent="0.2">
      <c r="A91" s="196" t="s">
        <v>305</v>
      </c>
      <c r="B91" s="191">
        <v>18684</v>
      </c>
      <c r="C91" s="191">
        <v>0</v>
      </c>
      <c r="D91" s="193">
        <v>3</v>
      </c>
      <c r="E91" s="186">
        <f t="shared" si="6"/>
        <v>18684</v>
      </c>
      <c r="F91" s="191">
        <v>0</v>
      </c>
      <c r="G91" s="186">
        <v>0</v>
      </c>
      <c r="H91" s="188">
        <f t="shared" si="7"/>
        <v>18684</v>
      </c>
      <c r="I91" s="188"/>
      <c r="J91" s="188">
        <f t="shared" si="8"/>
        <v>18684</v>
      </c>
      <c r="K91" s="188"/>
    </row>
    <row r="92" spans="1:11" x14ac:dyDescent="0.2">
      <c r="A92" s="196" t="s">
        <v>170</v>
      </c>
      <c r="B92" s="191">
        <v>285904</v>
      </c>
      <c r="C92" s="191">
        <v>0</v>
      </c>
      <c r="D92" s="193">
        <v>3</v>
      </c>
      <c r="E92" s="186">
        <f t="shared" si="6"/>
        <v>285904</v>
      </c>
      <c r="F92" s="191">
        <v>0</v>
      </c>
      <c r="G92" s="186">
        <v>0</v>
      </c>
      <c r="H92" s="188">
        <f t="shared" si="7"/>
        <v>285904</v>
      </c>
      <c r="I92" s="188"/>
      <c r="J92" s="188">
        <f t="shared" si="8"/>
        <v>285904</v>
      </c>
      <c r="K92" s="188"/>
    </row>
    <row r="93" spans="1:11" x14ac:dyDescent="0.2">
      <c r="A93" s="189" t="s">
        <v>171</v>
      </c>
      <c r="B93" s="191">
        <v>150168</v>
      </c>
      <c r="C93" s="191">
        <v>0</v>
      </c>
      <c r="D93" s="190">
        <v>1</v>
      </c>
      <c r="E93" s="186">
        <f t="shared" si="6"/>
        <v>150168</v>
      </c>
      <c r="F93" s="191">
        <v>0</v>
      </c>
      <c r="G93" s="186">
        <v>0</v>
      </c>
      <c r="H93" s="188">
        <f t="shared" si="7"/>
        <v>150168</v>
      </c>
      <c r="I93" s="188"/>
      <c r="J93" s="188">
        <f t="shared" si="8"/>
        <v>150168</v>
      </c>
      <c r="K93" s="188"/>
    </row>
    <row r="94" spans="1:11" x14ac:dyDescent="0.2">
      <c r="A94" s="196" t="s">
        <v>172</v>
      </c>
      <c r="B94" s="191">
        <v>732426.5</v>
      </c>
      <c r="C94" s="191">
        <f>2230771.25+2341393.75</f>
        <v>4572165</v>
      </c>
      <c r="D94" s="193">
        <v>3</v>
      </c>
      <c r="E94" s="186">
        <f t="shared" si="6"/>
        <v>5304591.5</v>
      </c>
      <c r="F94" s="186">
        <v>125535</v>
      </c>
      <c r="G94" s="186">
        <v>745285.21</v>
      </c>
      <c r="H94" s="188">
        <f t="shared" si="7"/>
        <v>6175411.71</v>
      </c>
      <c r="I94" s="188"/>
      <c r="J94" s="188">
        <f t="shared" si="8"/>
        <v>6175411.71</v>
      </c>
      <c r="K94" s="188"/>
    </row>
    <row r="95" spans="1:11" x14ac:dyDescent="0.2">
      <c r="A95" s="196" t="s">
        <v>306</v>
      </c>
      <c r="B95" s="191">
        <v>0</v>
      </c>
      <c r="C95" s="191">
        <v>0</v>
      </c>
      <c r="D95" s="193">
        <v>3</v>
      </c>
      <c r="E95" s="186">
        <f t="shared" si="6"/>
        <v>0</v>
      </c>
      <c r="F95" s="191">
        <v>0</v>
      </c>
      <c r="G95" s="186">
        <v>0</v>
      </c>
      <c r="H95" s="188">
        <f t="shared" si="7"/>
        <v>0</v>
      </c>
      <c r="I95" s="188"/>
      <c r="J95" s="188">
        <f t="shared" si="8"/>
        <v>0</v>
      </c>
      <c r="K95" s="188"/>
    </row>
    <row r="96" spans="1:11" x14ac:dyDescent="0.2">
      <c r="A96" s="196" t="s">
        <v>307</v>
      </c>
      <c r="B96" s="191">
        <v>0</v>
      </c>
      <c r="C96" s="191">
        <v>0</v>
      </c>
      <c r="D96" s="193">
        <v>3</v>
      </c>
      <c r="E96" s="186">
        <f t="shared" si="6"/>
        <v>0</v>
      </c>
      <c r="F96" s="191">
        <v>0</v>
      </c>
      <c r="G96" s="186">
        <v>0</v>
      </c>
      <c r="H96" s="188">
        <f t="shared" si="7"/>
        <v>0</v>
      </c>
      <c r="I96" s="188"/>
      <c r="J96" s="188">
        <f t="shared" si="8"/>
        <v>0</v>
      </c>
      <c r="K96" s="188"/>
    </row>
    <row r="97" spans="1:11" x14ac:dyDescent="0.2">
      <c r="A97" s="181" t="s">
        <v>173</v>
      </c>
      <c r="B97" s="191">
        <v>435274.85</v>
      </c>
      <c r="C97" s="191">
        <v>0</v>
      </c>
      <c r="D97" s="182">
        <v>2</v>
      </c>
      <c r="E97" s="186">
        <f t="shared" si="6"/>
        <v>435274.85</v>
      </c>
      <c r="F97" s="186">
        <v>1128040.3500000001</v>
      </c>
      <c r="G97" s="186">
        <v>1093942.29</v>
      </c>
      <c r="H97" s="188">
        <f t="shared" si="7"/>
        <v>2657257.4900000002</v>
      </c>
      <c r="I97" s="188"/>
      <c r="J97" s="188">
        <f t="shared" si="8"/>
        <v>2657257.4900000002</v>
      </c>
      <c r="K97" s="188"/>
    </row>
    <row r="98" spans="1:11" x14ac:dyDescent="0.2">
      <c r="A98" s="196" t="s">
        <v>308</v>
      </c>
      <c r="B98" s="191">
        <v>0</v>
      </c>
      <c r="C98" s="191">
        <v>0</v>
      </c>
      <c r="D98" s="193">
        <v>3</v>
      </c>
      <c r="E98" s="186">
        <f t="shared" si="6"/>
        <v>0</v>
      </c>
      <c r="F98" s="191">
        <v>0</v>
      </c>
      <c r="G98" s="186">
        <v>0</v>
      </c>
      <c r="H98" s="188">
        <f t="shared" si="7"/>
        <v>0</v>
      </c>
      <c r="I98" s="188"/>
      <c r="J98" s="188">
        <f t="shared" si="8"/>
        <v>0</v>
      </c>
      <c r="K98" s="188"/>
    </row>
    <row r="99" spans="1:11" x14ac:dyDescent="0.2">
      <c r="A99" s="196" t="s">
        <v>309</v>
      </c>
      <c r="B99" s="191">
        <v>0</v>
      </c>
      <c r="C99" s="191">
        <v>0</v>
      </c>
      <c r="D99" s="193">
        <v>3</v>
      </c>
      <c r="E99" s="186">
        <f t="shared" ref="E99:E130" si="9">+B99+C99</f>
        <v>0</v>
      </c>
      <c r="F99" s="191">
        <v>0</v>
      </c>
      <c r="G99" s="186">
        <v>0</v>
      </c>
      <c r="H99" s="188">
        <f t="shared" ref="H99:H130" si="10">+G99+F99+E99</f>
        <v>0</v>
      </c>
      <c r="I99" s="188"/>
      <c r="J99" s="188">
        <f t="shared" ref="J99:J130" si="11">+I99+H99</f>
        <v>0</v>
      </c>
      <c r="K99" s="188"/>
    </row>
    <row r="100" spans="1:11" x14ac:dyDescent="0.2">
      <c r="A100" s="196" t="s">
        <v>174</v>
      </c>
      <c r="B100" s="191">
        <v>310706.25</v>
      </c>
      <c r="C100" s="191">
        <v>0</v>
      </c>
      <c r="D100" s="193">
        <v>3</v>
      </c>
      <c r="E100" s="186">
        <f t="shared" si="9"/>
        <v>310706.25</v>
      </c>
      <c r="F100" s="191">
        <v>0</v>
      </c>
      <c r="G100" s="186">
        <v>37139.58</v>
      </c>
      <c r="H100" s="188">
        <f t="shared" si="10"/>
        <v>347845.83</v>
      </c>
      <c r="I100" s="188"/>
      <c r="J100" s="188">
        <f t="shared" si="11"/>
        <v>347845.83</v>
      </c>
      <c r="K100" s="188"/>
    </row>
    <row r="101" spans="1:11" x14ac:dyDescent="0.2">
      <c r="A101" s="181" t="s">
        <v>175</v>
      </c>
      <c r="B101" s="191">
        <v>267500</v>
      </c>
      <c r="C101" s="191">
        <v>0</v>
      </c>
      <c r="D101" s="182">
        <v>2</v>
      </c>
      <c r="E101" s="186">
        <f t="shared" si="9"/>
        <v>267500</v>
      </c>
      <c r="F101" s="191">
        <v>0</v>
      </c>
      <c r="G101" s="186">
        <v>0</v>
      </c>
      <c r="H101" s="188">
        <f t="shared" si="10"/>
        <v>267500</v>
      </c>
      <c r="I101" s="188"/>
      <c r="J101" s="188">
        <f t="shared" si="11"/>
        <v>267500</v>
      </c>
      <c r="K101" s="188"/>
    </row>
    <row r="102" spans="1:11" x14ac:dyDescent="0.2">
      <c r="A102" s="181" t="s">
        <v>176</v>
      </c>
      <c r="B102" s="191">
        <v>0</v>
      </c>
      <c r="C102" s="191">
        <v>0</v>
      </c>
      <c r="D102" s="182">
        <v>2</v>
      </c>
      <c r="E102" s="186">
        <f t="shared" si="9"/>
        <v>0</v>
      </c>
      <c r="F102" s="186">
        <v>9284.27</v>
      </c>
      <c r="G102" s="186">
        <v>0</v>
      </c>
      <c r="H102" s="188">
        <f t="shared" si="10"/>
        <v>9284.27</v>
      </c>
      <c r="I102" s="188"/>
      <c r="J102" s="188">
        <f t="shared" si="11"/>
        <v>9284.27</v>
      </c>
      <c r="K102" s="188"/>
    </row>
    <row r="103" spans="1:11" x14ac:dyDescent="0.2">
      <c r="A103" s="196" t="s">
        <v>177</v>
      </c>
      <c r="B103" s="191">
        <v>0</v>
      </c>
      <c r="C103" s="191">
        <v>0</v>
      </c>
      <c r="D103" s="193">
        <v>3</v>
      </c>
      <c r="E103" s="186">
        <f t="shared" si="9"/>
        <v>0</v>
      </c>
      <c r="F103" s="186">
        <v>57170.27</v>
      </c>
      <c r="G103" s="186">
        <v>0</v>
      </c>
      <c r="H103" s="188">
        <f t="shared" si="10"/>
        <v>57170.27</v>
      </c>
      <c r="I103" s="188"/>
      <c r="J103" s="188">
        <f t="shared" si="11"/>
        <v>57170.27</v>
      </c>
      <c r="K103" s="188"/>
    </row>
    <row r="104" spans="1:11" x14ac:dyDescent="0.2">
      <c r="A104" s="196" t="s">
        <v>178</v>
      </c>
      <c r="B104" s="191">
        <v>86211.44</v>
      </c>
      <c r="C104" s="191">
        <v>0</v>
      </c>
      <c r="D104" s="193">
        <v>3</v>
      </c>
      <c r="E104" s="186">
        <f t="shared" si="9"/>
        <v>86211.44</v>
      </c>
      <c r="F104" s="191">
        <v>0</v>
      </c>
      <c r="G104" s="186">
        <v>0</v>
      </c>
      <c r="H104" s="188">
        <f t="shared" si="10"/>
        <v>86211.44</v>
      </c>
      <c r="I104" s="188"/>
      <c r="J104" s="188">
        <f t="shared" si="11"/>
        <v>86211.44</v>
      </c>
      <c r="K104" s="188"/>
    </row>
    <row r="105" spans="1:11" x14ac:dyDescent="0.2">
      <c r="A105" s="196" t="s">
        <v>179</v>
      </c>
      <c r="B105" s="191">
        <v>13400.21</v>
      </c>
      <c r="C105" s="191">
        <v>0</v>
      </c>
      <c r="D105" s="193">
        <v>3</v>
      </c>
      <c r="E105" s="186">
        <f t="shared" si="9"/>
        <v>13400.21</v>
      </c>
      <c r="F105" s="186">
        <v>790258.78</v>
      </c>
      <c r="G105" s="186">
        <v>1084496.94</v>
      </c>
      <c r="H105" s="188">
        <f t="shared" si="10"/>
        <v>1888155.93</v>
      </c>
      <c r="I105" s="188"/>
      <c r="J105" s="188">
        <f t="shared" si="11"/>
        <v>1888155.93</v>
      </c>
      <c r="K105" s="188"/>
    </row>
    <row r="106" spans="1:11" x14ac:dyDescent="0.2">
      <c r="A106" s="196" t="s">
        <v>310</v>
      </c>
      <c r="B106" s="191">
        <v>0</v>
      </c>
      <c r="C106" s="191">
        <v>0</v>
      </c>
      <c r="D106" s="193">
        <v>3</v>
      </c>
      <c r="E106" s="186">
        <f t="shared" si="9"/>
        <v>0</v>
      </c>
      <c r="F106" s="191">
        <v>0</v>
      </c>
      <c r="G106" s="186">
        <v>113050</v>
      </c>
      <c r="H106" s="188">
        <f t="shared" si="10"/>
        <v>113050</v>
      </c>
      <c r="I106" s="188"/>
      <c r="J106" s="188">
        <f t="shared" si="11"/>
        <v>113050</v>
      </c>
      <c r="K106" s="188"/>
    </row>
    <row r="107" spans="1:11" x14ac:dyDescent="0.2">
      <c r="A107" s="196" t="s">
        <v>180</v>
      </c>
      <c r="B107" s="191">
        <v>0</v>
      </c>
      <c r="C107" s="191">
        <v>0</v>
      </c>
      <c r="D107" s="193">
        <v>3</v>
      </c>
      <c r="E107" s="186">
        <f t="shared" si="9"/>
        <v>0</v>
      </c>
      <c r="F107" s="191">
        <v>0</v>
      </c>
      <c r="G107" s="186">
        <v>99941</v>
      </c>
      <c r="H107" s="188">
        <f t="shared" si="10"/>
        <v>99941</v>
      </c>
      <c r="I107" s="188"/>
      <c r="J107" s="188">
        <f t="shared" si="11"/>
        <v>99941</v>
      </c>
      <c r="K107" s="188"/>
    </row>
    <row r="108" spans="1:11" x14ac:dyDescent="0.2">
      <c r="A108" s="196" t="s">
        <v>181</v>
      </c>
      <c r="B108" s="191">
        <v>135950.29999999999</v>
      </c>
      <c r="C108" s="191">
        <v>0</v>
      </c>
      <c r="D108" s="193">
        <v>3</v>
      </c>
      <c r="E108" s="186">
        <f t="shared" si="9"/>
        <v>135950.29999999999</v>
      </c>
      <c r="F108" s="186">
        <v>14004.23</v>
      </c>
      <c r="G108" s="186">
        <v>748256.46</v>
      </c>
      <c r="H108" s="188">
        <f t="shared" si="10"/>
        <v>898210.99</v>
      </c>
      <c r="I108" s="188"/>
      <c r="J108" s="188">
        <f t="shared" si="11"/>
        <v>898210.99</v>
      </c>
      <c r="K108" s="188"/>
    </row>
    <row r="109" spans="1:11" x14ac:dyDescent="0.2">
      <c r="A109" s="189" t="s">
        <v>182</v>
      </c>
      <c r="B109" s="191">
        <v>510140.6</v>
      </c>
      <c r="C109" s="191">
        <v>0</v>
      </c>
      <c r="D109" s="190">
        <v>1</v>
      </c>
      <c r="E109" s="186">
        <f t="shared" si="9"/>
        <v>510140.6</v>
      </c>
      <c r="F109" s="186">
        <v>8970</v>
      </c>
      <c r="G109" s="186">
        <v>0</v>
      </c>
      <c r="H109" s="188">
        <f t="shared" si="10"/>
        <v>519110.6</v>
      </c>
      <c r="I109" s="188"/>
      <c r="J109" s="188">
        <f t="shared" si="11"/>
        <v>519110.6</v>
      </c>
      <c r="K109" s="188"/>
    </row>
    <row r="110" spans="1:11" x14ac:dyDescent="0.2">
      <c r="A110" s="189" t="s">
        <v>183</v>
      </c>
      <c r="B110" s="191">
        <v>9485898.7100000009</v>
      </c>
      <c r="C110" s="191">
        <f>1551516.7+1233569.07</f>
        <v>2785085.77</v>
      </c>
      <c r="D110" s="190">
        <v>1</v>
      </c>
      <c r="E110" s="186">
        <f t="shared" si="9"/>
        <v>12270984.48</v>
      </c>
      <c r="F110" s="186">
        <v>241171</v>
      </c>
      <c r="G110" s="186">
        <v>10075147.970000001</v>
      </c>
      <c r="H110" s="188">
        <f t="shared" si="10"/>
        <v>22587303.450000003</v>
      </c>
      <c r="I110" s="188"/>
      <c r="J110" s="188">
        <f t="shared" si="11"/>
        <v>22587303.450000003</v>
      </c>
      <c r="K110" s="188"/>
    </row>
    <row r="111" spans="1:11" x14ac:dyDescent="0.2">
      <c r="A111" s="198" t="s">
        <v>311</v>
      </c>
      <c r="B111" s="191">
        <v>613320.77</v>
      </c>
      <c r="C111" s="191">
        <v>0</v>
      </c>
      <c r="D111" s="199">
        <v>3</v>
      </c>
      <c r="E111" s="186">
        <f t="shared" si="9"/>
        <v>613320.77</v>
      </c>
      <c r="F111" s="191">
        <v>0</v>
      </c>
      <c r="G111" s="186">
        <v>0</v>
      </c>
      <c r="H111" s="188">
        <f t="shared" si="10"/>
        <v>613320.77</v>
      </c>
      <c r="I111" s="188"/>
      <c r="J111" s="188">
        <f t="shared" si="11"/>
        <v>613320.77</v>
      </c>
      <c r="K111" s="188"/>
    </row>
    <row r="112" spans="1:11" x14ac:dyDescent="0.2">
      <c r="A112" s="189" t="s">
        <v>184</v>
      </c>
      <c r="B112" s="191">
        <v>700705.87</v>
      </c>
      <c r="C112" s="191">
        <v>0</v>
      </c>
      <c r="D112" s="190">
        <v>1</v>
      </c>
      <c r="E112" s="186">
        <f t="shared" si="9"/>
        <v>700705.87</v>
      </c>
      <c r="F112" s="191">
        <v>50530</v>
      </c>
      <c r="G112" s="186">
        <v>2843879.66</v>
      </c>
      <c r="H112" s="188">
        <f t="shared" si="10"/>
        <v>3595115.5300000003</v>
      </c>
      <c r="I112" s="188"/>
      <c r="J112" s="188">
        <f t="shared" si="11"/>
        <v>3595115.5300000003</v>
      </c>
      <c r="K112" s="188"/>
    </row>
    <row r="113" spans="1:11" s="200" customFormat="1" x14ac:dyDescent="0.2">
      <c r="A113" s="196" t="s">
        <v>312</v>
      </c>
      <c r="B113" s="191">
        <v>0</v>
      </c>
      <c r="C113" s="191">
        <v>0</v>
      </c>
      <c r="D113" s="193">
        <v>3</v>
      </c>
      <c r="E113" s="186">
        <f t="shared" si="9"/>
        <v>0</v>
      </c>
      <c r="F113" s="191">
        <v>0</v>
      </c>
      <c r="G113" s="186">
        <v>0</v>
      </c>
      <c r="H113" s="188">
        <f t="shared" si="10"/>
        <v>0</v>
      </c>
      <c r="I113" s="188"/>
      <c r="J113" s="188">
        <f t="shared" si="11"/>
        <v>0</v>
      </c>
      <c r="K113" s="188"/>
    </row>
    <row r="114" spans="1:11" s="200" customFormat="1" x14ac:dyDescent="0.2">
      <c r="A114" s="189" t="s">
        <v>185</v>
      </c>
      <c r="B114" s="191">
        <v>6353670.7000000002</v>
      </c>
      <c r="C114" s="191">
        <v>0</v>
      </c>
      <c r="D114" s="190">
        <v>1</v>
      </c>
      <c r="E114" s="186">
        <f t="shared" si="9"/>
        <v>6353670.7000000002</v>
      </c>
      <c r="F114" s="191">
        <v>0</v>
      </c>
      <c r="G114" s="186">
        <v>22640</v>
      </c>
      <c r="H114" s="188">
        <f t="shared" si="10"/>
        <v>6376310.7000000002</v>
      </c>
      <c r="I114" s="188"/>
      <c r="J114" s="188">
        <f t="shared" si="11"/>
        <v>6376310.7000000002</v>
      </c>
      <c r="K114" s="188"/>
    </row>
    <row r="115" spans="1:11" s="200" customFormat="1" x14ac:dyDescent="0.2">
      <c r="A115" s="196" t="s">
        <v>186</v>
      </c>
      <c r="B115" s="191">
        <v>356605.41</v>
      </c>
      <c r="C115" s="191">
        <v>0</v>
      </c>
      <c r="D115" s="193">
        <v>3</v>
      </c>
      <c r="E115" s="186">
        <f t="shared" si="9"/>
        <v>356605.41</v>
      </c>
      <c r="F115" s="191">
        <v>0</v>
      </c>
      <c r="G115" s="186">
        <v>460510.4</v>
      </c>
      <c r="H115" s="188">
        <f t="shared" si="10"/>
        <v>817115.81</v>
      </c>
      <c r="I115" s="188"/>
      <c r="J115" s="188">
        <f t="shared" si="11"/>
        <v>817115.81</v>
      </c>
      <c r="K115" s="188"/>
    </row>
    <row r="116" spans="1:11" s="200" customFormat="1" x14ac:dyDescent="0.2">
      <c r="A116" s="189" t="s">
        <v>313</v>
      </c>
      <c r="B116" s="191">
        <v>0</v>
      </c>
      <c r="C116" s="191">
        <v>0</v>
      </c>
      <c r="D116" s="190">
        <v>1</v>
      </c>
      <c r="E116" s="186">
        <f t="shared" si="9"/>
        <v>0</v>
      </c>
      <c r="F116" s="191">
        <v>0</v>
      </c>
      <c r="G116" s="186">
        <v>0</v>
      </c>
      <c r="H116" s="188">
        <f t="shared" si="10"/>
        <v>0</v>
      </c>
      <c r="I116" s="188"/>
      <c r="J116" s="188">
        <f t="shared" si="11"/>
        <v>0</v>
      </c>
      <c r="K116" s="188"/>
    </row>
    <row r="117" spans="1:11" s="200" customFormat="1" x14ac:dyDescent="0.2">
      <c r="A117" s="196" t="s">
        <v>187</v>
      </c>
      <c r="B117" s="191">
        <v>187952</v>
      </c>
      <c r="C117" s="191">
        <v>0</v>
      </c>
      <c r="D117" s="193">
        <v>3</v>
      </c>
      <c r="E117" s="186">
        <f t="shared" si="9"/>
        <v>187952</v>
      </c>
      <c r="F117" s="191">
        <v>0</v>
      </c>
      <c r="G117" s="186">
        <v>8352</v>
      </c>
      <c r="H117" s="188">
        <f t="shared" si="10"/>
        <v>196304</v>
      </c>
      <c r="I117" s="188"/>
      <c r="J117" s="188">
        <f t="shared" si="11"/>
        <v>196304</v>
      </c>
      <c r="K117" s="188"/>
    </row>
    <row r="118" spans="1:11" s="200" customFormat="1" x14ac:dyDescent="0.2">
      <c r="A118" s="196" t="s">
        <v>314</v>
      </c>
      <c r="B118" s="191">
        <v>0</v>
      </c>
      <c r="C118" s="191">
        <v>0</v>
      </c>
      <c r="D118" s="193">
        <v>3</v>
      </c>
      <c r="E118" s="186">
        <f t="shared" si="9"/>
        <v>0</v>
      </c>
      <c r="F118" s="191">
        <v>0</v>
      </c>
      <c r="G118" s="186">
        <v>0</v>
      </c>
      <c r="H118" s="188">
        <f t="shared" si="10"/>
        <v>0</v>
      </c>
      <c r="I118" s="188"/>
      <c r="J118" s="188">
        <f t="shared" si="11"/>
        <v>0</v>
      </c>
      <c r="K118" s="188"/>
    </row>
    <row r="119" spans="1:11" s="200" customFormat="1" x14ac:dyDescent="0.2">
      <c r="A119" s="196" t="s">
        <v>188</v>
      </c>
      <c r="B119" s="191">
        <v>353468.4</v>
      </c>
      <c r="C119" s="191">
        <v>0</v>
      </c>
      <c r="D119" s="193">
        <v>3</v>
      </c>
      <c r="E119" s="186">
        <f t="shared" si="9"/>
        <v>353468.4</v>
      </c>
      <c r="F119" s="191">
        <v>0</v>
      </c>
      <c r="G119" s="186">
        <v>0</v>
      </c>
      <c r="H119" s="188">
        <f t="shared" si="10"/>
        <v>353468.4</v>
      </c>
      <c r="I119" s="188"/>
      <c r="J119" s="188">
        <f t="shared" si="11"/>
        <v>353468.4</v>
      </c>
      <c r="K119" s="188"/>
    </row>
    <row r="120" spans="1:11" x14ac:dyDescent="0.2">
      <c r="A120" s="196" t="s">
        <v>315</v>
      </c>
      <c r="B120" s="191">
        <v>0</v>
      </c>
      <c r="C120" s="191">
        <v>0</v>
      </c>
      <c r="D120" s="193">
        <v>3</v>
      </c>
      <c r="E120" s="186">
        <f t="shared" si="9"/>
        <v>0</v>
      </c>
      <c r="F120" s="191">
        <v>0</v>
      </c>
      <c r="G120" s="186">
        <v>0</v>
      </c>
      <c r="H120" s="188">
        <f t="shared" si="10"/>
        <v>0</v>
      </c>
      <c r="I120" s="188"/>
      <c r="J120" s="188">
        <f t="shared" si="11"/>
        <v>0</v>
      </c>
      <c r="K120" s="188"/>
    </row>
    <row r="121" spans="1:11" x14ac:dyDescent="0.2">
      <c r="A121" s="189" t="s">
        <v>189</v>
      </c>
      <c r="B121" s="191">
        <v>118148.5</v>
      </c>
      <c r="C121" s="191">
        <v>0</v>
      </c>
      <c r="D121" s="190">
        <v>1</v>
      </c>
      <c r="E121" s="186">
        <f t="shared" si="9"/>
        <v>118148.5</v>
      </c>
      <c r="F121" s="191">
        <v>124320</v>
      </c>
      <c r="G121" s="186">
        <v>569712</v>
      </c>
      <c r="H121" s="188">
        <f t="shared" si="10"/>
        <v>812180.5</v>
      </c>
      <c r="I121" s="188"/>
      <c r="J121" s="188">
        <f t="shared" si="11"/>
        <v>812180.5</v>
      </c>
      <c r="K121" s="188"/>
    </row>
    <row r="122" spans="1:11" x14ac:dyDescent="0.2">
      <c r="A122" s="196" t="s">
        <v>316</v>
      </c>
      <c r="B122" s="191">
        <v>0</v>
      </c>
      <c r="C122" s="191">
        <v>0</v>
      </c>
      <c r="D122" s="193">
        <v>3</v>
      </c>
      <c r="E122" s="186">
        <f t="shared" si="9"/>
        <v>0</v>
      </c>
      <c r="F122" s="191">
        <v>0</v>
      </c>
      <c r="G122" s="186">
        <v>0</v>
      </c>
      <c r="H122" s="188">
        <f t="shared" si="10"/>
        <v>0</v>
      </c>
      <c r="I122" s="188"/>
      <c r="J122" s="188">
        <f t="shared" si="11"/>
        <v>0</v>
      </c>
      <c r="K122" s="188"/>
    </row>
    <row r="123" spans="1:11" x14ac:dyDescent="0.2">
      <c r="A123" s="196" t="s">
        <v>317</v>
      </c>
      <c r="B123" s="191">
        <v>0</v>
      </c>
      <c r="C123" s="191">
        <v>0</v>
      </c>
      <c r="D123" s="193">
        <v>3</v>
      </c>
      <c r="E123" s="186">
        <f t="shared" si="9"/>
        <v>0</v>
      </c>
      <c r="F123" s="191">
        <v>0</v>
      </c>
      <c r="G123" s="186">
        <v>0</v>
      </c>
      <c r="H123" s="188">
        <f t="shared" si="10"/>
        <v>0</v>
      </c>
      <c r="I123" s="188"/>
      <c r="J123" s="188">
        <f t="shared" si="11"/>
        <v>0</v>
      </c>
      <c r="K123" s="188"/>
    </row>
    <row r="124" spans="1:11" x14ac:dyDescent="0.2">
      <c r="A124" s="196" t="s">
        <v>190</v>
      </c>
      <c r="B124" s="191">
        <v>53148.4</v>
      </c>
      <c r="C124" s="191">
        <v>0</v>
      </c>
      <c r="D124" s="193">
        <v>3</v>
      </c>
      <c r="E124" s="186">
        <f t="shared" si="9"/>
        <v>53148.4</v>
      </c>
      <c r="F124" s="191">
        <v>0</v>
      </c>
      <c r="G124" s="186">
        <v>0</v>
      </c>
      <c r="H124" s="188">
        <f t="shared" si="10"/>
        <v>53148.4</v>
      </c>
      <c r="I124" s="188"/>
      <c r="J124" s="188">
        <f t="shared" si="11"/>
        <v>53148.4</v>
      </c>
      <c r="K124" s="188"/>
    </row>
    <row r="125" spans="1:11" x14ac:dyDescent="0.2">
      <c r="A125" s="196" t="s">
        <v>318</v>
      </c>
      <c r="B125" s="191">
        <v>31920</v>
      </c>
      <c r="C125" s="191">
        <v>0</v>
      </c>
      <c r="D125" s="193">
        <v>3</v>
      </c>
      <c r="E125" s="186">
        <f t="shared" si="9"/>
        <v>31920</v>
      </c>
      <c r="F125" s="191">
        <v>0</v>
      </c>
      <c r="G125" s="186">
        <v>0</v>
      </c>
      <c r="H125" s="188">
        <f t="shared" si="10"/>
        <v>31920</v>
      </c>
      <c r="I125" s="188"/>
      <c r="J125" s="188">
        <f t="shared" si="11"/>
        <v>31920</v>
      </c>
      <c r="K125" s="188"/>
    </row>
    <row r="126" spans="1:11" x14ac:dyDescent="0.2">
      <c r="A126" s="196" t="s">
        <v>191</v>
      </c>
      <c r="B126" s="191">
        <v>221472</v>
      </c>
      <c r="C126" s="191">
        <v>0</v>
      </c>
      <c r="D126" s="193">
        <v>3</v>
      </c>
      <c r="E126" s="186">
        <f t="shared" si="9"/>
        <v>221472</v>
      </c>
      <c r="F126" s="191">
        <v>0</v>
      </c>
      <c r="G126" s="186">
        <v>0</v>
      </c>
      <c r="H126" s="188">
        <f t="shared" si="10"/>
        <v>221472</v>
      </c>
      <c r="I126" s="188"/>
      <c r="J126" s="188">
        <f t="shared" si="11"/>
        <v>221472</v>
      </c>
      <c r="K126" s="188"/>
    </row>
    <row r="127" spans="1:11" x14ac:dyDescent="0.2">
      <c r="A127" s="196" t="s">
        <v>192</v>
      </c>
      <c r="B127" s="191">
        <v>0</v>
      </c>
      <c r="C127" s="191">
        <f>51350+168900</f>
        <v>220250</v>
      </c>
      <c r="D127" s="193">
        <v>3</v>
      </c>
      <c r="E127" s="186">
        <f t="shared" si="9"/>
        <v>220250</v>
      </c>
      <c r="F127" s="186">
        <f>192125+20250</f>
        <v>212375</v>
      </c>
      <c r="G127" s="186">
        <v>263799.32</v>
      </c>
      <c r="H127" s="188">
        <f t="shared" si="10"/>
        <v>696424.32000000007</v>
      </c>
      <c r="I127" s="188"/>
      <c r="J127" s="188">
        <f t="shared" si="11"/>
        <v>696424.32000000007</v>
      </c>
      <c r="K127" s="188"/>
    </row>
    <row r="128" spans="1:11" x14ac:dyDescent="0.2">
      <c r="A128" s="196" t="s">
        <v>193</v>
      </c>
      <c r="B128" s="191">
        <v>344410.39</v>
      </c>
      <c r="C128" s="191">
        <v>0</v>
      </c>
      <c r="D128" s="193">
        <v>3</v>
      </c>
      <c r="E128" s="186">
        <f t="shared" si="9"/>
        <v>344410.39</v>
      </c>
      <c r="F128" s="186">
        <v>5240</v>
      </c>
      <c r="G128" s="186">
        <v>79519.16</v>
      </c>
      <c r="H128" s="188">
        <f t="shared" si="10"/>
        <v>429169.55000000005</v>
      </c>
      <c r="I128" s="188"/>
      <c r="J128" s="188">
        <f t="shared" si="11"/>
        <v>429169.55000000005</v>
      </c>
      <c r="K128" s="188"/>
    </row>
    <row r="129" spans="1:11" x14ac:dyDescent="0.2">
      <c r="A129" s="196" t="s">
        <v>194</v>
      </c>
      <c r="B129" s="191">
        <v>19300</v>
      </c>
      <c r="C129" s="191">
        <v>0</v>
      </c>
      <c r="D129" s="193">
        <v>3</v>
      </c>
      <c r="E129" s="186">
        <f t="shared" si="9"/>
        <v>19300</v>
      </c>
      <c r="F129" s="186">
        <v>137389.39000000001</v>
      </c>
      <c r="G129" s="186">
        <v>213473.57</v>
      </c>
      <c r="H129" s="188">
        <f t="shared" si="10"/>
        <v>370162.96</v>
      </c>
      <c r="I129" s="188"/>
      <c r="J129" s="188">
        <f t="shared" si="11"/>
        <v>370162.96</v>
      </c>
      <c r="K129" s="188"/>
    </row>
    <row r="130" spans="1:11" x14ac:dyDescent="0.2">
      <c r="A130" s="196" t="s">
        <v>195</v>
      </c>
      <c r="B130" s="191">
        <v>102989.8</v>
      </c>
      <c r="C130" s="191">
        <v>0</v>
      </c>
      <c r="D130" s="193">
        <v>3</v>
      </c>
      <c r="E130" s="186">
        <f t="shared" si="9"/>
        <v>102989.8</v>
      </c>
      <c r="F130" s="186">
        <v>29941.73</v>
      </c>
      <c r="G130" s="186">
        <v>0</v>
      </c>
      <c r="H130" s="188">
        <f t="shared" si="10"/>
        <v>132931.53</v>
      </c>
      <c r="I130" s="188"/>
      <c r="J130" s="188">
        <f t="shared" si="11"/>
        <v>132931.53</v>
      </c>
      <c r="K130" s="188"/>
    </row>
    <row r="131" spans="1:11" x14ac:dyDescent="0.2">
      <c r="A131" s="196" t="s">
        <v>196</v>
      </c>
      <c r="B131" s="191">
        <v>277082.67</v>
      </c>
      <c r="C131" s="191">
        <v>0</v>
      </c>
      <c r="D131" s="193">
        <v>3</v>
      </c>
      <c r="E131" s="186">
        <f t="shared" ref="E131:E149" si="12">+B131+C131</f>
        <v>277082.67</v>
      </c>
      <c r="F131" s="191">
        <v>0</v>
      </c>
      <c r="G131" s="186">
        <v>1491671.95</v>
      </c>
      <c r="H131" s="188">
        <f t="shared" ref="H131:H149" si="13">+G131+F131+E131</f>
        <v>1768754.6199999999</v>
      </c>
      <c r="I131" s="188"/>
      <c r="J131" s="188">
        <f t="shared" ref="J131:J149" si="14">+I131+H131</f>
        <v>1768754.6199999999</v>
      </c>
      <c r="K131" s="188"/>
    </row>
    <row r="132" spans="1:11" x14ac:dyDescent="0.2">
      <c r="A132" s="196" t="s">
        <v>319</v>
      </c>
      <c r="B132" s="191">
        <v>0</v>
      </c>
      <c r="C132" s="191">
        <v>0</v>
      </c>
      <c r="D132" s="193">
        <v>3</v>
      </c>
      <c r="E132" s="186">
        <f t="shared" si="12"/>
        <v>0</v>
      </c>
      <c r="F132" s="191">
        <v>0</v>
      </c>
      <c r="G132" s="186">
        <v>0</v>
      </c>
      <c r="H132" s="188">
        <f t="shared" si="13"/>
        <v>0</v>
      </c>
      <c r="I132" s="188"/>
      <c r="J132" s="188">
        <f t="shared" si="14"/>
        <v>0</v>
      </c>
      <c r="K132" s="188"/>
    </row>
    <row r="133" spans="1:11" x14ac:dyDescent="0.2">
      <c r="A133" s="189" t="s">
        <v>197</v>
      </c>
      <c r="B133" s="191">
        <v>60102</v>
      </c>
      <c r="C133" s="191">
        <v>0</v>
      </c>
      <c r="D133" s="190">
        <v>1</v>
      </c>
      <c r="E133" s="186">
        <f t="shared" si="12"/>
        <v>60102</v>
      </c>
      <c r="F133" s="191">
        <v>0</v>
      </c>
      <c r="G133" s="186">
        <v>0</v>
      </c>
      <c r="H133" s="188">
        <f t="shared" si="13"/>
        <v>60102</v>
      </c>
      <c r="I133" s="188"/>
      <c r="J133" s="188">
        <f t="shared" si="14"/>
        <v>60102</v>
      </c>
      <c r="K133" s="188"/>
    </row>
    <row r="134" spans="1:11" x14ac:dyDescent="0.2">
      <c r="A134" s="181" t="s">
        <v>198</v>
      </c>
      <c r="B134" s="191">
        <v>411756.94</v>
      </c>
      <c r="C134" s="191">
        <v>7923.06</v>
      </c>
      <c r="D134" s="182">
        <v>2</v>
      </c>
      <c r="E134" s="186">
        <f t="shared" si="12"/>
        <v>419680</v>
      </c>
      <c r="F134" s="186">
        <v>3154887.28</v>
      </c>
      <c r="G134" s="186">
        <v>671135.8</v>
      </c>
      <c r="H134" s="188">
        <f t="shared" si="13"/>
        <v>4245703.08</v>
      </c>
      <c r="I134" s="188"/>
      <c r="J134" s="188">
        <f t="shared" si="14"/>
        <v>4245703.08</v>
      </c>
      <c r="K134" s="188"/>
    </row>
    <row r="135" spans="1:11" x14ac:dyDescent="0.2">
      <c r="A135" s="196" t="s">
        <v>199</v>
      </c>
      <c r="B135" s="191">
        <v>0</v>
      </c>
      <c r="C135" s="191">
        <v>0</v>
      </c>
      <c r="D135" s="182">
        <v>3</v>
      </c>
      <c r="E135" s="186">
        <f t="shared" si="12"/>
        <v>0</v>
      </c>
      <c r="F135" s="191">
        <v>0</v>
      </c>
      <c r="G135" s="186">
        <v>0</v>
      </c>
      <c r="H135" s="188">
        <f t="shared" si="13"/>
        <v>0</v>
      </c>
      <c r="I135" s="188"/>
      <c r="J135" s="188">
        <f t="shared" si="14"/>
        <v>0</v>
      </c>
      <c r="K135" s="188"/>
    </row>
    <row r="136" spans="1:11" x14ac:dyDescent="0.2">
      <c r="A136" s="196" t="s">
        <v>200</v>
      </c>
      <c r="B136" s="191">
        <v>20900.29</v>
      </c>
      <c r="C136" s="191">
        <v>0</v>
      </c>
      <c r="D136" s="193">
        <v>3</v>
      </c>
      <c r="E136" s="186">
        <f t="shared" si="12"/>
        <v>20900.29</v>
      </c>
      <c r="F136" s="186">
        <v>262838.08</v>
      </c>
      <c r="G136" s="186">
        <v>121894.03</v>
      </c>
      <c r="H136" s="188">
        <f t="shared" si="13"/>
        <v>405632.39999999997</v>
      </c>
      <c r="I136" s="188"/>
      <c r="J136" s="188">
        <f t="shared" si="14"/>
        <v>405632.39999999997</v>
      </c>
      <c r="K136" s="188"/>
    </row>
    <row r="137" spans="1:11" x14ac:dyDescent="0.2">
      <c r="A137" s="196" t="s">
        <v>201</v>
      </c>
      <c r="B137" s="191">
        <v>106596.26</v>
      </c>
      <c r="C137" s="191">
        <v>0</v>
      </c>
      <c r="D137" s="193">
        <v>3</v>
      </c>
      <c r="E137" s="186">
        <f t="shared" si="12"/>
        <v>106596.26</v>
      </c>
      <c r="F137" s="191">
        <v>19240.75</v>
      </c>
      <c r="G137" s="186">
        <v>112151.38</v>
      </c>
      <c r="H137" s="188">
        <f t="shared" si="13"/>
        <v>237988.39</v>
      </c>
      <c r="I137" s="188"/>
      <c r="J137" s="188">
        <f t="shared" si="14"/>
        <v>237988.39</v>
      </c>
      <c r="K137" s="188"/>
    </row>
    <row r="138" spans="1:11" x14ac:dyDescent="0.2">
      <c r="A138" s="196" t="s">
        <v>320</v>
      </c>
      <c r="B138" s="191">
        <v>0</v>
      </c>
      <c r="C138" s="191">
        <v>0</v>
      </c>
      <c r="D138" s="193">
        <v>3</v>
      </c>
      <c r="E138" s="186">
        <f t="shared" si="12"/>
        <v>0</v>
      </c>
      <c r="F138" s="191">
        <v>0</v>
      </c>
      <c r="G138" s="186">
        <v>0</v>
      </c>
      <c r="H138" s="188">
        <f t="shared" si="13"/>
        <v>0</v>
      </c>
      <c r="I138" s="188"/>
      <c r="J138" s="188">
        <f t="shared" si="14"/>
        <v>0</v>
      </c>
      <c r="K138" s="188"/>
    </row>
    <row r="139" spans="1:11" x14ac:dyDescent="0.2">
      <c r="A139" s="196" t="s">
        <v>321</v>
      </c>
      <c r="B139" s="191">
        <v>0</v>
      </c>
      <c r="C139" s="191">
        <v>0</v>
      </c>
      <c r="D139" s="193">
        <v>3</v>
      </c>
      <c r="E139" s="186">
        <f t="shared" si="12"/>
        <v>0</v>
      </c>
      <c r="F139" s="191">
        <v>0</v>
      </c>
      <c r="G139" s="186">
        <v>0</v>
      </c>
      <c r="H139" s="188">
        <f t="shared" si="13"/>
        <v>0</v>
      </c>
      <c r="I139" s="188"/>
      <c r="J139" s="188">
        <f t="shared" si="14"/>
        <v>0</v>
      </c>
      <c r="K139" s="188"/>
    </row>
    <row r="140" spans="1:11" x14ac:dyDescent="0.2">
      <c r="A140" s="196" t="s">
        <v>202</v>
      </c>
      <c r="B140" s="191">
        <v>311449.25</v>
      </c>
      <c r="C140" s="191">
        <v>0</v>
      </c>
      <c r="D140" s="193">
        <v>3</v>
      </c>
      <c r="E140" s="186">
        <f t="shared" si="12"/>
        <v>311449.25</v>
      </c>
      <c r="F140" s="186">
        <v>178040</v>
      </c>
      <c r="G140" s="186">
        <v>1825428.79</v>
      </c>
      <c r="H140" s="188">
        <f t="shared" si="13"/>
        <v>2314918.04</v>
      </c>
      <c r="I140" s="188"/>
      <c r="J140" s="188">
        <f t="shared" si="14"/>
        <v>2314918.04</v>
      </c>
      <c r="K140" s="188"/>
    </row>
    <row r="141" spans="1:11" x14ac:dyDescent="0.2">
      <c r="A141" s="181" t="s">
        <v>203</v>
      </c>
      <c r="B141" s="191">
        <v>2177504.86</v>
      </c>
      <c r="C141" s="191">
        <f>2698567.39+8951034.97</f>
        <v>11649602.360000001</v>
      </c>
      <c r="D141" s="182">
        <v>2</v>
      </c>
      <c r="E141" s="186">
        <f t="shared" si="12"/>
        <v>13827107.220000001</v>
      </c>
      <c r="F141" s="186">
        <v>5449954.5099999998</v>
      </c>
      <c r="G141" s="186">
        <v>2066276.67</v>
      </c>
      <c r="H141" s="188">
        <f t="shared" si="13"/>
        <v>21343338.399999999</v>
      </c>
      <c r="I141" s="188"/>
      <c r="J141" s="188">
        <f t="shared" si="14"/>
        <v>21343338.399999999</v>
      </c>
      <c r="K141" s="188"/>
    </row>
    <row r="142" spans="1:11" x14ac:dyDescent="0.2">
      <c r="A142" s="196" t="s">
        <v>204</v>
      </c>
      <c r="B142" s="191">
        <v>44280</v>
      </c>
      <c r="C142" s="191">
        <v>0</v>
      </c>
      <c r="D142" s="193">
        <v>3</v>
      </c>
      <c r="E142" s="186">
        <f t="shared" si="12"/>
        <v>44280</v>
      </c>
      <c r="F142" s="186">
        <v>43100</v>
      </c>
      <c r="G142" s="186">
        <v>67780</v>
      </c>
      <c r="H142" s="188">
        <f t="shared" si="13"/>
        <v>155160</v>
      </c>
      <c r="I142" s="188"/>
      <c r="J142" s="188">
        <f t="shared" si="14"/>
        <v>155160</v>
      </c>
      <c r="K142" s="188"/>
    </row>
    <row r="143" spans="1:11" x14ac:dyDescent="0.2">
      <c r="A143" s="196" t="s">
        <v>322</v>
      </c>
      <c r="B143" s="191">
        <v>0</v>
      </c>
      <c r="C143" s="191">
        <v>0</v>
      </c>
      <c r="D143" s="193">
        <v>3</v>
      </c>
      <c r="E143" s="186">
        <f t="shared" si="12"/>
        <v>0</v>
      </c>
      <c r="F143" s="191">
        <v>0</v>
      </c>
      <c r="G143" s="186">
        <v>0</v>
      </c>
      <c r="H143" s="188">
        <f t="shared" si="13"/>
        <v>0</v>
      </c>
      <c r="I143" s="188"/>
      <c r="J143" s="188">
        <f t="shared" si="14"/>
        <v>0</v>
      </c>
      <c r="K143" s="188"/>
    </row>
    <row r="144" spans="1:11" x14ac:dyDescent="0.2">
      <c r="A144" s="196" t="s">
        <v>205</v>
      </c>
      <c r="B144" s="191">
        <v>161015.73000000001</v>
      </c>
      <c r="C144" s="191">
        <v>0</v>
      </c>
      <c r="D144" s="193">
        <v>3</v>
      </c>
      <c r="E144" s="186">
        <f t="shared" si="12"/>
        <v>161015.73000000001</v>
      </c>
      <c r="F144" s="186">
        <v>7362.22</v>
      </c>
      <c r="G144" s="186">
        <v>85488.72</v>
      </c>
      <c r="H144" s="188">
        <f t="shared" si="13"/>
        <v>253866.67</v>
      </c>
      <c r="I144" s="188"/>
      <c r="J144" s="188">
        <f t="shared" si="14"/>
        <v>253866.67</v>
      </c>
      <c r="K144" s="188"/>
    </row>
    <row r="145" spans="1:11" x14ac:dyDescent="0.2">
      <c r="A145" s="196" t="s">
        <v>206</v>
      </c>
      <c r="B145" s="191">
        <v>0</v>
      </c>
      <c r="C145" s="191">
        <v>0</v>
      </c>
      <c r="D145" s="193">
        <v>3</v>
      </c>
      <c r="E145" s="186">
        <f t="shared" si="12"/>
        <v>0</v>
      </c>
      <c r="F145" s="191">
        <v>0</v>
      </c>
      <c r="G145" s="186">
        <v>13673.73</v>
      </c>
      <c r="H145" s="188">
        <f t="shared" si="13"/>
        <v>13673.73</v>
      </c>
      <c r="I145" s="188"/>
      <c r="J145" s="188">
        <f t="shared" si="14"/>
        <v>13673.73</v>
      </c>
      <c r="K145" s="188"/>
    </row>
    <row r="146" spans="1:11" x14ac:dyDescent="0.2">
      <c r="A146" s="196" t="s">
        <v>207</v>
      </c>
      <c r="B146" s="191">
        <v>76555.28</v>
      </c>
      <c r="C146" s="191">
        <v>0</v>
      </c>
      <c r="D146" s="193">
        <v>3</v>
      </c>
      <c r="E146" s="186">
        <f t="shared" si="12"/>
        <v>76555.28</v>
      </c>
      <c r="F146" s="186">
        <v>347659.19</v>
      </c>
      <c r="G146" s="186">
        <v>0</v>
      </c>
      <c r="H146" s="188">
        <f t="shared" si="13"/>
        <v>424214.47</v>
      </c>
      <c r="I146" s="188"/>
      <c r="J146" s="188">
        <f t="shared" si="14"/>
        <v>424214.47</v>
      </c>
      <c r="K146" s="188"/>
    </row>
    <row r="147" spans="1:11" x14ac:dyDescent="0.2">
      <c r="A147" s="196" t="s">
        <v>208</v>
      </c>
      <c r="B147" s="191">
        <v>0</v>
      </c>
      <c r="C147" s="191">
        <v>0</v>
      </c>
      <c r="D147" s="193">
        <v>3</v>
      </c>
      <c r="E147" s="186">
        <f t="shared" si="12"/>
        <v>0</v>
      </c>
      <c r="F147" s="186">
        <v>81806</v>
      </c>
      <c r="G147" s="186">
        <v>0</v>
      </c>
      <c r="H147" s="188">
        <f t="shared" si="13"/>
        <v>81806</v>
      </c>
      <c r="I147" s="188"/>
      <c r="J147" s="188">
        <f t="shared" si="14"/>
        <v>81806</v>
      </c>
      <c r="K147" s="188"/>
    </row>
    <row r="148" spans="1:11" x14ac:dyDescent="0.2">
      <c r="A148" s="196" t="s">
        <v>323</v>
      </c>
      <c r="B148" s="191">
        <v>0</v>
      </c>
      <c r="C148" s="191">
        <v>0</v>
      </c>
      <c r="D148" s="193">
        <v>3</v>
      </c>
      <c r="E148" s="186">
        <f t="shared" si="12"/>
        <v>0</v>
      </c>
      <c r="F148" s="201">
        <v>0</v>
      </c>
      <c r="G148" s="186">
        <v>0</v>
      </c>
      <c r="H148" s="188">
        <f t="shared" si="13"/>
        <v>0</v>
      </c>
      <c r="I148" s="188"/>
      <c r="J148" s="188">
        <f t="shared" si="14"/>
        <v>0</v>
      </c>
      <c r="K148" s="188"/>
    </row>
    <row r="149" spans="1:11" ht="13.5" thickBot="1" x14ac:dyDescent="0.25">
      <c r="A149" s="189" t="s">
        <v>324</v>
      </c>
      <c r="B149" s="191">
        <v>693925.4</v>
      </c>
      <c r="C149" s="191">
        <v>44542.400000000001</v>
      </c>
      <c r="D149" s="190">
        <v>1</v>
      </c>
      <c r="E149" s="186">
        <f t="shared" si="12"/>
        <v>738467.8</v>
      </c>
      <c r="F149" s="191">
        <v>634154.03</v>
      </c>
      <c r="G149" s="186">
        <v>3807537.53</v>
      </c>
      <c r="H149" s="188">
        <f t="shared" si="13"/>
        <v>5180159.3599999994</v>
      </c>
      <c r="I149" s="188"/>
      <c r="J149" s="188">
        <f t="shared" si="14"/>
        <v>5180159.3599999994</v>
      </c>
      <c r="K149" s="188"/>
    </row>
    <row r="150" spans="1:11" s="206" customFormat="1" ht="25.9" customHeight="1" thickBot="1" x14ac:dyDescent="0.25">
      <c r="A150" s="202" t="s">
        <v>0</v>
      </c>
      <c r="B150" s="203">
        <f>SUM(B3:B149)</f>
        <v>281095034.07999998</v>
      </c>
      <c r="C150" s="203">
        <f>SUM(C3:C149)</f>
        <v>152121926.20000005</v>
      </c>
      <c r="D150" s="203"/>
      <c r="E150" s="203">
        <f t="shared" ref="E150:J150" si="15">SUM(E3:E149)</f>
        <v>433216960.27999997</v>
      </c>
      <c r="F150" s="203">
        <f t="shared" si="15"/>
        <v>54204690.419999994</v>
      </c>
      <c r="G150" s="203">
        <f t="shared" si="15"/>
        <v>191324193.55999994</v>
      </c>
      <c r="H150" s="204">
        <f t="shared" si="15"/>
        <v>678745844.26000023</v>
      </c>
      <c r="I150" s="204">
        <f t="shared" si="15"/>
        <v>7223289.7899999991</v>
      </c>
      <c r="J150" s="204">
        <f t="shared" si="15"/>
        <v>685969134.05000007</v>
      </c>
      <c r="K150" s="205"/>
    </row>
    <row r="151" spans="1:11" x14ac:dyDescent="0.2">
      <c r="A151" s="181"/>
      <c r="B151" s="182"/>
      <c r="C151" s="201"/>
      <c r="D151" s="182"/>
      <c r="E151" s="182"/>
      <c r="F151" s="201"/>
      <c r="G151" s="207"/>
      <c r="H151" s="208"/>
      <c r="I151" s="208"/>
      <c r="J151" s="208"/>
      <c r="K151" s="207"/>
    </row>
    <row r="152" spans="1:11" x14ac:dyDescent="0.2">
      <c r="A152" s="181"/>
      <c r="B152" s="182"/>
      <c r="C152" s="184"/>
      <c r="D152" s="182"/>
      <c r="E152" s="182"/>
      <c r="F152" s="201"/>
      <c r="G152" s="186"/>
      <c r="H152" s="208"/>
      <c r="I152" s="208"/>
      <c r="J152" s="208"/>
      <c r="K152" s="188"/>
    </row>
    <row r="153" spans="1:11" x14ac:dyDescent="0.2">
      <c r="A153" s="189" t="s">
        <v>209</v>
      </c>
      <c r="B153" s="228">
        <f>SUMIF($D$1:$D$149,"1",B$1:B$149)-B156</f>
        <v>72588974.840000004</v>
      </c>
      <c r="C153" s="228">
        <f>SUMIF($D$1:$D$149,"1",C$1:C$149)-C156</f>
        <v>41189448.180000022</v>
      </c>
      <c r="D153" s="182"/>
      <c r="E153" s="228">
        <f t="shared" ref="E153:J153" si="16">SUMIF($D$1:$D$149,"1",E$1:E$149)-E156</f>
        <v>113778423.01999998</v>
      </c>
      <c r="F153" s="228">
        <f t="shared" si="16"/>
        <v>15703706.990000002</v>
      </c>
      <c r="G153" s="228">
        <f t="shared" si="16"/>
        <v>49618186.999999985</v>
      </c>
      <c r="H153" s="208">
        <f t="shared" si="16"/>
        <v>179100317.00999993</v>
      </c>
      <c r="I153" s="208">
        <f t="shared" si="16"/>
        <v>1007864.2899999991</v>
      </c>
      <c r="J153" s="208">
        <f t="shared" si="16"/>
        <v>180108181.30000001</v>
      </c>
      <c r="K153" s="229">
        <f>+J153/J$158</f>
        <v>0.26256018290011285</v>
      </c>
    </row>
    <row r="154" spans="1:11" x14ac:dyDescent="0.2">
      <c r="A154" s="181" t="s">
        <v>210</v>
      </c>
      <c r="B154" s="228">
        <f>SUMIF($D$1:$D$149,"2",B$1:B$149)</f>
        <v>7801775.379999999</v>
      </c>
      <c r="C154" s="228">
        <f>SUMIF($D$1:$D$149,"2",C$1:C$149)</f>
        <v>11657525.420000002</v>
      </c>
      <c r="D154" s="182"/>
      <c r="E154" s="228">
        <f t="shared" ref="E154:J154" si="17">SUMIF($D$1:$D$149,"2",E$1:E$149)</f>
        <v>19459300.800000001</v>
      </c>
      <c r="F154" s="228">
        <f t="shared" si="17"/>
        <v>13976023.399999999</v>
      </c>
      <c r="G154" s="228">
        <f t="shared" si="17"/>
        <v>21138838.479999997</v>
      </c>
      <c r="H154" s="208">
        <f t="shared" si="17"/>
        <v>54574162.68</v>
      </c>
      <c r="I154" s="208">
        <f t="shared" si="17"/>
        <v>0</v>
      </c>
      <c r="J154" s="208">
        <f t="shared" si="17"/>
        <v>54574162.68</v>
      </c>
      <c r="K154" s="229">
        <f>+J154/J$158</f>
        <v>7.9557752632091625E-2</v>
      </c>
    </row>
    <row r="155" spans="1:11" x14ac:dyDescent="0.2">
      <c r="A155" s="196" t="s">
        <v>98</v>
      </c>
      <c r="B155" s="228">
        <f>SUMIF($D$1:$D$149,"3",B$1:B$149)</f>
        <v>9601118.040000001</v>
      </c>
      <c r="C155" s="228">
        <f>SUMIF($D$1:$D$149,"3",C$1:C$149)</f>
        <v>4859915</v>
      </c>
      <c r="D155" s="182"/>
      <c r="E155" s="228">
        <f t="shared" ref="E155:J155" si="18">SUMIF($D$1:$D$149,"3",E$1:E$149)</f>
        <v>14461033.040000003</v>
      </c>
      <c r="F155" s="228">
        <f t="shared" si="18"/>
        <v>19566263.120000001</v>
      </c>
      <c r="G155" s="228">
        <f t="shared" si="18"/>
        <v>51751344.480000012</v>
      </c>
      <c r="H155" s="208">
        <f t="shared" si="18"/>
        <v>85778640.640000001</v>
      </c>
      <c r="I155" s="208">
        <f t="shared" si="18"/>
        <v>0</v>
      </c>
      <c r="J155" s="208">
        <f t="shared" si="18"/>
        <v>85778640.640000001</v>
      </c>
      <c r="K155" s="229">
        <f>+J155/J$158</f>
        <v>0.12504737659777507</v>
      </c>
    </row>
    <row r="156" spans="1:11" x14ac:dyDescent="0.2">
      <c r="A156" s="181" t="s">
        <v>139</v>
      </c>
      <c r="B156" s="228">
        <f>+B45</f>
        <v>191103165.81999999</v>
      </c>
      <c r="C156" s="228">
        <f>+C45</f>
        <v>94415037.600000009</v>
      </c>
      <c r="D156" s="182"/>
      <c r="E156" s="228">
        <f t="shared" ref="E156:J156" si="19">+E45</f>
        <v>285518203.42000002</v>
      </c>
      <c r="F156" s="228">
        <f t="shared" si="19"/>
        <v>4958696.91</v>
      </c>
      <c r="G156" s="228">
        <f t="shared" si="19"/>
        <v>68815823.600000009</v>
      </c>
      <c r="H156" s="208">
        <f t="shared" si="19"/>
        <v>359292723.93000001</v>
      </c>
      <c r="I156" s="208">
        <f t="shared" si="19"/>
        <v>6215425.5</v>
      </c>
      <c r="J156" s="208">
        <f t="shared" si="19"/>
        <v>365508149.43000001</v>
      </c>
      <c r="K156" s="229">
        <f>+J156/J$158</f>
        <v>0.53283468787002053</v>
      </c>
    </row>
    <row r="157" spans="1:11" ht="13.5" thickBot="1" x14ac:dyDescent="0.25">
      <c r="A157" s="181"/>
      <c r="B157" s="209"/>
      <c r="C157" s="210"/>
      <c r="D157" s="209"/>
      <c r="E157" s="210"/>
      <c r="F157" s="210"/>
      <c r="G157" s="210"/>
      <c r="H157" s="212"/>
      <c r="I157" s="212"/>
      <c r="J157" s="212"/>
      <c r="K157" s="211"/>
    </row>
    <row r="158" spans="1:11" ht="30" customHeight="1" thickBot="1" x14ac:dyDescent="0.25">
      <c r="A158" s="202" t="s">
        <v>0</v>
      </c>
      <c r="B158" s="230">
        <f>SUM(B153:B157)</f>
        <v>281095034.07999998</v>
      </c>
      <c r="C158" s="230">
        <f>SUM(C153:C157)</f>
        <v>152121926.20000005</v>
      </c>
      <c r="D158" s="213"/>
      <c r="E158" s="230">
        <f t="shared" ref="E158:J158" si="20">SUM(E153:E157)</f>
        <v>433216960.27999997</v>
      </c>
      <c r="F158" s="230">
        <f t="shared" si="20"/>
        <v>54204690.420000002</v>
      </c>
      <c r="G158" s="230">
        <f t="shared" si="20"/>
        <v>191324193.56</v>
      </c>
      <c r="H158" s="232">
        <f t="shared" si="20"/>
        <v>678745844.25999999</v>
      </c>
      <c r="I158" s="232">
        <f t="shared" si="20"/>
        <v>7223289.7899999991</v>
      </c>
      <c r="J158" s="232">
        <f t="shared" si="20"/>
        <v>685969134.04999995</v>
      </c>
      <c r="K158" s="231">
        <f>+J158/J158</f>
        <v>1</v>
      </c>
    </row>
    <row r="161" spans="2:10" ht="15.75" x14ac:dyDescent="0.25">
      <c r="B161" s="215"/>
      <c r="C161" s="217"/>
      <c r="D161" s="214"/>
      <c r="E161" s="214"/>
      <c r="F161" s="216"/>
      <c r="G161" s="219"/>
      <c r="H161" s="219"/>
      <c r="I161" s="219"/>
      <c r="J161" s="219"/>
    </row>
    <row r="162" spans="2:10" ht="15.75" x14ac:dyDescent="0.25">
      <c r="C162" s="222"/>
      <c r="E162" s="214"/>
      <c r="F162" s="218"/>
      <c r="G162" s="219"/>
      <c r="H162" s="219"/>
      <c r="I162" s="219"/>
      <c r="J162" s="219"/>
    </row>
    <row r="163" spans="2:10" x14ac:dyDescent="0.2">
      <c r="E163" s="214"/>
      <c r="F163" s="218"/>
      <c r="G163" s="219"/>
      <c r="H163" s="224"/>
      <c r="I163" s="219"/>
      <c r="J163" s="224"/>
    </row>
    <row r="164" spans="2:10" ht="15.75" x14ac:dyDescent="0.25">
      <c r="C164" s="222"/>
      <c r="E164" s="214"/>
      <c r="F164" s="218"/>
      <c r="G164" s="219"/>
      <c r="H164" s="225"/>
      <c r="I164" s="225"/>
      <c r="J164" s="225"/>
    </row>
    <row r="165" spans="2:10" ht="15.75" x14ac:dyDescent="0.25">
      <c r="C165" s="222"/>
      <c r="E165" s="214"/>
      <c r="F165" s="218"/>
      <c r="G165" s="219"/>
      <c r="H165" s="224"/>
      <c r="I165" s="225"/>
      <c r="J165" s="224"/>
    </row>
    <row r="166" spans="2:10" x14ac:dyDescent="0.2">
      <c r="E166" s="214"/>
      <c r="F166" s="218"/>
      <c r="G166" s="219"/>
      <c r="H166" s="224"/>
      <c r="I166" s="224"/>
      <c r="J166" s="224"/>
    </row>
    <row r="167" spans="2:10" x14ac:dyDescent="0.2">
      <c r="E167" s="214"/>
      <c r="G167" s="219"/>
    </row>
  </sheetData>
  <printOptions horizontalCentered="1"/>
  <pageMargins left="0.19685039370078741" right="0.19685039370078741" top="0.19685039370078741" bottom="0.19685039370078741" header="0" footer="0"/>
  <pageSetup paperSize="8" scale="57" fitToHeight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"/>
  <sheetViews>
    <sheetView workbookViewId="0"/>
  </sheetViews>
  <sheetFormatPr baseColWidth="10" defaultColWidth="11" defaultRowHeight="13.5" x14ac:dyDescent="0.25"/>
  <cols>
    <col min="1" max="1" width="2.75" style="51" bestFit="1" customWidth="1"/>
    <col min="2" max="2" width="32.125" style="15" customWidth="1"/>
    <col min="3" max="3" width="10.25" style="13" customWidth="1"/>
    <col min="4" max="4" width="10.625" style="13" customWidth="1"/>
    <col min="5" max="5" width="13.375" style="14" customWidth="1"/>
    <col min="6" max="7" width="10.25" style="13" customWidth="1"/>
    <col min="8" max="8" width="10.25" style="14" customWidth="1"/>
    <col min="9" max="9" width="12.25" style="13" bestFit="1" customWidth="1"/>
    <col min="10" max="10" width="11.875" style="13" bestFit="1" customWidth="1"/>
    <col min="11" max="11" width="11.25" style="14" bestFit="1" customWidth="1"/>
    <col min="12" max="12" width="9.875" style="15" customWidth="1"/>
    <col min="13" max="13" width="19.875" style="15" customWidth="1"/>
    <col min="14" max="14" width="16.375" style="15" customWidth="1"/>
    <col min="15" max="15" width="7.75" style="15" customWidth="1"/>
    <col min="16" max="16" width="8.5" style="15" customWidth="1"/>
    <col min="17" max="17" width="7.125" style="15" customWidth="1"/>
    <col min="18" max="16384" width="11" style="15"/>
  </cols>
  <sheetData>
    <row r="1" spans="2:12" s="15" customFormat="1" ht="18.75" x14ac:dyDescent="0.3">
      <c r="B1" s="11" t="s">
        <v>39</v>
      </c>
      <c r="C1" s="12">
        <v>42339</v>
      </c>
      <c r="D1" s="12">
        <v>42705</v>
      </c>
      <c r="E1" s="12" t="s">
        <v>40</v>
      </c>
      <c r="F1" s="13"/>
      <c r="G1" s="13"/>
      <c r="H1" s="14"/>
      <c r="I1" s="13"/>
      <c r="J1" s="13"/>
      <c r="K1" s="14"/>
    </row>
    <row r="2" spans="2:12" s="15" customFormat="1" ht="14.25" thickBot="1" x14ac:dyDescent="0.3">
      <c r="C2" s="13"/>
      <c r="D2" s="13"/>
      <c r="E2" s="14"/>
      <c r="F2" s="13"/>
      <c r="G2" s="13"/>
      <c r="H2" s="14"/>
      <c r="I2" s="13"/>
      <c r="J2" s="13"/>
      <c r="K2" s="14"/>
    </row>
    <row r="3" spans="2:12" s="15" customFormat="1" ht="13.5" customHeight="1" x14ac:dyDescent="0.25">
      <c r="B3" s="759" t="s">
        <v>41</v>
      </c>
      <c r="C3" s="760"/>
      <c r="D3" s="760"/>
      <c r="E3" s="760"/>
      <c r="F3" s="760"/>
      <c r="G3" s="760"/>
      <c r="H3" s="760"/>
      <c r="I3" s="760"/>
      <c r="J3" s="760"/>
      <c r="K3" s="761"/>
    </row>
    <row r="4" spans="2:12" s="15" customFormat="1" ht="13.5" customHeight="1" x14ac:dyDescent="0.25">
      <c r="B4" s="762"/>
      <c r="C4" s="763"/>
      <c r="D4" s="763"/>
      <c r="E4" s="763"/>
      <c r="F4" s="763"/>
      <c r="G4" s="763"/>
      <c r="H4" s="763"/>
      <c r="I4" s="763"/>
      <c r="J4" s="763"/>
      <c r="K4" s="764"/>
    </row>
    <row r="5" spans="2:12" s="15" customFormat="1" ht="13.5" customHeight="1" x14ac:dyDescent="0.3">
      <c r="B5" s="754" t="s">
        <v>42</v>
      </c>
      <c r="C5" s="751" t="s">
        <v>43</v>
      </c>
      <c r="D5" s="752"/>
      <c r="E5" s="766"/>
      <c r="F5" s="751" t="s">
        <v>44</v>
      </c>
      <c r="G5" s="752"/>
      <c r="H5" s="766"/>
      <c r="I5" s="751" t="s">
        <v>45</v>
      </c>
      <c r="J5" s="752"/>
      <c r="K5" s="753"/>
    </row>
    <row r="6" spans="2:12" s="15" customFormat="1" ht="13.5" customHeight="1" x14ac:dyDescent="0.25">
      <c r="B6" s="765"/>
      <c r="C6" s="22">
        <f>+$C$1</f>
        <v>42339</v>
      </c>
      <c r="D6" s="23">
        <f>+$D$1</f>
        <v>42705</v>
      </c>
      <c r="E6" s="24" t="str">
        <f>+$E$1</f>
        <v>2016 / 2015</v>
      </c>
      <c r="F6" s="22">
        <f>+$C$1</f>
        <v>42339</v>
      </c>
      <c r="G6" s="23">
        <f>+$D$1</f>
        <v>42705</v>
      </c>
      <c r="H6" s="24" t="str">
        <f>+$E$1</f>
        <v>2016 / 2015</v>
      </c>
      <c r="I6" s="22">
        <f>+$C$1</f>
        <v>42339</v>
      </c>
      <c r="J6" s="23">
        <f>+$D$1</f>
        <v>42705</v>
      </c>
      <c r="K6" s="24" t="str">
        <f>+$E$1</f>
        <v>2016 / 2015</v>
      </c>
    </row>
    <row r="7" spans="2:12" s="15" customFormat="1" ht="14.25" thickBot="1" x14ac:dyDescent="0.3">
      <c r="B7" s="25"/>
      <c r="C7" s="26"/>
      <c r="D7" s="26"/>
      <c r="E7" s="27"/>
      <c r="F7" s="26"/>
      <c r="G7" s="26"/>
      <c r="H7" s="27"/>
      <c r="I7" s="26"/>
      <c r="J7" s="26"/>
      <c r="K7" s="28"/>
    </row>
    <row r="8" spans="2:12" s="15" customFormat="1" ht="15" x14ac:dyDescent="0.3">
      <c r="B8" s="29" t="s">
        <v>46</v>
      </c>
      <c r="C8" s="30">
        <v>1111926</v>
      </c>
      <c r="D8" s="31">
        <v>1053706</v>
      </c>
      <c r="E8" s="32">
        <v>-5.2359599469748885E-2</v>
      </c>
      <c r="F8" s="30">
        <v>55.85</v>
      </c>
      <c r="G8" s="31">
        <v>45.87</v>
      </c>
      <c r="H8" s="32">
        <v>-0.1786929274843331</v>
      </c>
      <c r="I8" s="30">
        <v>62101067.100000001</v>
      </c>
      <c r="J8" s="31">
        <v>48333494.219999999</v>
      </c>
      <c r="K8" s="32">
        <v>-0.22169623684292539</v>
      </c>
      <c r="L8" s="33"/>
    </row>
    <row r="9" spans="2:12" s="15" customFormat="1" ht="15" x14ac:dyDescent="0.3">
      <c r="B9" s="34" t="s">
        <v>47</v>
      </c>
      <c r="C9" s="35">
        <v>10517.739000000001</v>
      </c>
      <c r="D9" s="36">
        <v>68184.983200000002</v>
      </c>
      <c r="E9" s="37">
        <v>5.4828556023305</v>
      </c>
      <c r="F9" s="35">
        <v>125.02</v>
      </c>
      <c r="G9" s="36">
        <v>83.39</v>
      </c>
      <c r="H9" s="37">
        <v>-0.33298672212446007</v>
      </c>
      <c r="I9" s="35">
        <v>1314927.7297800002</v>
      </c>
      <c r="J9" s="36">
        <v>5685945.7490480002</v>
      </c>
      <c r="K9" s="37">
        <v>3.324150765304275</v>
      </c>
      <c r="L9" s="33"/>
    </row>
    <row r="10" spans="2:12" s="15" customFormat="1" ht="15" x14ac:dyDescent="0.3">
      <c r="B10" s="34" t="s">
        <v>101</v>
      </c>
      <c r="C10" s="35">
        <v>1122443.7390000001</v>
      </c>
      <c r="D10" s="36">
        <v>1121890.9831999999</v>
      </c>
      <c r="E10" s="37">
        <v>-4.9245746650305739E-4</v>
      </c>
      <c r="F10" s="35">
        <v>56.498150086594229</v>
      </c>
      <c r="G10" s="36">
        <v>48.150346850071742</v>
      </c>
      <c r="H10" s="37">
        <v>-0.14775356757217503</v>
      </c>
      <c r="I10" s="35">
        <v>63415994.829780005</v>
      </c>
      <c r="J10" s="36">
        <v>54019439.969048001</v>
      </c>
      <c r="K10" s="37">
        <v>-0.1481732626911248</v>
      </c>
      <c r="L10" s="33"/>
    </row>
    <row r="11" spans="2:12" s="15" customFormat="1" ht="15.75" thickBot="1" x14ac:dyDescent="0.35">
      <c r="B11" s="38" t="s">
        <v>48</v>
      </c>
      <c r="C11" s="35">
        <v>821171.02800000005</v>
      </c>
      <c r="D11" s="39">
        <v>645043.03099999996</v>
      </c>
      <c r="E11" s="37">
        <v>-0.21448393939197777</v>
      </c>
      <c r="F11" s="35">
        <v>29.485138889845736</v>
      </c>
      <c r="G11" s="39">
        <v>22.839720268850591</v>
      </c>
      <c r="H11" s="37">
        <v>-0.2253819677031853</v>
      </c>
      <c r="I11" s="35">
        <v>24212341.812897403</v>
      </c>
      <c r="J11" s="39">
        <v>14732602.38941152</v>
      </c>
      <c r="K11" s="37">
        <v>-0.39152509479426834</v>
      </c>
      <c r="L11" s="33"/>
    </row>
    <row r="12" spans="2:12" s="15" customFormat="1" ht="15.75" thickBot="1" x14ac:dyDescent="0.35">
      <c r="C12" s="40">
        <v>1943614.767</v>
      </c>
      <c r="D12" s="41">
        <v>1766934.0141999999</v>
      </c>
      <c r="E12" s="42">
        <v>-9.0903174744195667E-2</v>
      </c>
      <c r="F12" s="40">
        <v>45.085239179332397</v>
      </c>
      <c r="G12" s="41">
        <v>38.910362133465306</v>
      </c>
      <c r="H12" s="42">
        <v>-0.13696005961742191</v>
      </c>
      <c r="I12" s="40">
        <v>87628336.642677411</v>
      </c>
      <c r="J12" s="41">
        <v>68752042.358459517</v>
      </c>
      <c r="K12" s="42">
        <v>-0.21541313012923971</v>
      </c>
      <c r="L12" s="33"/>
    </row>
    <row r="13" spans="2:12" s="15" customFormat="1" x14ac:dyDescent="0.25">
      <c r="C13" s="43"/>
      <c r="D13" s="43"/>
      <c r="E13" s="44"/>
      <c r="F13" s="43"/>
      <c r="G13" s="43"/>
      <c r="H13" s="44"/>
      <c r="I13" s="43"/>
      <c r="J13" s="43"/>
      <c r="K13" s="44"/>
      <c r="L13" s="33"/>
    </row>
    <row r="14" spans="2:12" s="15" customFormat="1" ht="15" x14ac:dyDescent="0.25">
      <c r="B14" s="45"/>
      <c r="C14" s="22">
        <f>+$C$1</f>
        <v>42339</v>
      </c>
      <c r="D14" s="23">
        <f>+$D$1</f>
        <v>42705</v>
      </c>
      <c r="E14" s="24" t="str">
        <f>+$E$1</f>
        <v>2016 / 2015</v>
      </c>
      <c r="F14" s="13"/>
      <c r="G14" s="13"/>
      <c r="H14" s="14"/>
      <c r="I14" s="13"/>
      <c r="J14" s="13"/>
      <c r="K14" s="14"/>
    </row>
    <row r="15" spans="2:12" s="15" customFormat="1" ht="15" x14ac:dyDescent="0.3">
      <c r="B15" s="46" t="s">
        <v>49</v>
      </c>
      <c r="C15" s="47">
        <v>1.1096250000000001</v>
      </c>
      <c r="D15" s="48">
        <v>1.1066083333333332</v>
      </c>
      <c r="E15" s="49">
        <v>-2.2898640802111416E-4</v>
      </c>
      <c r="F15" s="13"/>
      <c r="G15" s="13"/>
      <c r="H15" s="14"/>
      <c r="I15" s="13"/>
      <c r="J15" s="13"/>
      <c r="K15" s="14"/>
    </row>
    <row r="16" spans="2:12" s="15" customFormat="1" ht="13.5" customHeight="1" thickBot="1" x14ac:dyDescent="0.3">
      <c r="C16" s="13"/>
      <c r="D16" s="13"/>
      <c r="E16" s="14"/>
      <c r="F16" s="13"/>
      <c r="G16" s="13"/>
      <c r="H16" s="14"/>
      <c r="I16" s="13"/>
      <c r="J16" s="50"/>
      <c r="K16" s="14"/>
    </row>
    <row r="17" spans="1:12" ht="13.5" customHeight="1" x14ac:dyDescent="0.25">
      <c r="B17" s="16" t="s">
        <v>50</v>
      </c>
      <c r="C17" s="17"/>
      <c r="D17" s="17"/>
      <c r="E17" s="17"/>
      <c r="F17" s="17"/>
      <c r="G17" s="17"/>
      <c r="H17" s="17"/>
      <c r="I17" s="17"/>
      <c r="J17" s="17"/>
      <c r="K17" s="18"/>
    </row>
    <row r="18" spans="1:12" ht="13.5" customHeight="1" x14ac:dyDescent="0.25">
      <c r="B18" s="19"/>
      <c r="C18" s="20"/>
      <c r="D18" s="20"/>
      <c r="E18" s="20"/>
      <c r="F18" s="20"/>
      <c r="G18" s="20"/>
      <c r="H18" s="20"/>
      <c r="I18" s="20"/>
      <c r="J18" s="20"/>
      <c r="K18" s="21"/>
    </row>
    <row r="19" spans="1:12" ht="13.5" customHeight="1" x14ac:dyDescent="0.3">
      <c r="B19" s="754" t="s">
        <v>51</v>
      </c>
      <c r="C19" s="756" t="s">
        <v>52</v>
      </c>
      <c r="D19" s="757"/>
      <c r="E19" s="758"/>
      <c r="F19" s="756" t="s">
        <v>53</v>
      </c>
      <c r="G19" s="757"/>
      <c r="H19" s="758"/>
      <c r="I19" s="751" t="s">
        <v>54</v>
      </c>
      <c r="J19" s="752"/>
      <c r="K19" s="753"/>
    </row>
    <row r="20" spans="1:12" ht="15" x14ac:dyDescent="0.25">
      <c r="B20" s="755"/>
      <c r="C20" s="22">
        <f>+$C$1</f>
        <v>42339</v>
      </c>
      <c r="D20" s="23">
        <f>+$D$1</f>
        <v>42705</v>
      </c>
      <c r="E20" s="24" t="str">
        <f>+$E$1</f>
        <v>2016 / 2015</v>
      </c>
      <c r="F20" s="22">
        <f>+$C$1</f>
        <v>42339</v>
      </c>
      <c r="G20" s="23">
        <f>+$D$1</f>
        <v>42705</v>
      </c>
      <c r="H20" s="24" t="str">
        <f>+$E$1</f>
        <v>2016 / 2015</v>
      </c>
      <c r="I20" s="22">
        <f>+$C$1</f>
        <v>42339</v>
      </c>
      <c r="J20" s="23">
        <f>+$D$1</f>
        <v>42705</v>
      </c>
      <c r="K20" s="24" t="str">
        <f>+$E$1</f>
        <v>2016 / 2015</v>
      </c>
    </row>
    <row r="21" spans="1:12" s="14" customFormat="1" ht="14.25" thickBot="1" x14ac:dyDescent="0.3">
      <c r="A21" s="51"/>
      <c r="B21" s="52"/>
      <c r="C21" s="26"/>
      <c r="D21" s="26"/>
      <c r="E21" s="27"/>
      <c r="F21" s="26"/>
      <c r="G21" s="26"/>
      <c r="H21" s="27"/>
      <c r="I21" s="26"/>
      <c r="J21" s="26"/>
      <c r="K21" s="28"/>
      <c r="L21" s="15"/>
    </row>
    <row r="22" spans="1:12" s="14" customFormat="1" ht="15" x14ac:dyDescent="0.3">
      <c r="A22" s="51"/>
      <c r="B22" s="53" t="s">
        <v>55</v>
      </c>
      <c r="C22" s="30">
        <v>67933.8</v>
      </c>
      <c r="D22" s="31">
        <v>70885.8</v>
      </c>
      <c r="E22" s="54">
        <v>4.3454068519647067E-2</v>
      </c>
      <c r="F22" s="30">
        <v>895.03</v>
      </c>
      <c r="G22" s="31">
        <v>844.65</v>
      </c>
      <c r="H22" s="54">
        <v>-5.6288616024043885E-2</v>
      </c>
      <c r="I22" s="35">
        <v>60802789.013999999</v>
      </c>
      <c r="J22" s="55">
        <v>59873690.969999999</v>
      </c>
      <c r="K22" s="56">
        <v>-1.5280516881981721E-2</v>
      </c>
      <c r="L22" s="15"/>
    </row>
    <row r="23" spans="1:12" s="14" customFormat="1" ht="15" x14ac:dyDescent="0.3">
      <c r="A23" s="51"/>
      <c r="B23" s="57" t="s">
        <v>56</v>
      </c>
      <c r="C23" s="35">
        <v>223095.39400000003</v>
      </c>
      <c r="D23" s="36">
        <v>231448.40399999998</v>
      </c>
      <c r="E23" s="58">
        <v>3.7441427410195433E-2</v>
      </c>
      <c r="F23" s="35">
        <v>290.52859355691135</v>
      </c>
      <c r="G23" s="36">
        <v>200.49649967287309</v>
      </c>
      <c r="H23" s="58">
        <v>-0.30989064718823267</v>
      </c>
      <c r="I23" s="35">
        <v>64815591.047845006</v>
      </c>
      <c r="J23" s="55">
        <v>46404594.856872991</v>
      </c>
      <c r="K23" s="59">
        <v>-0.28405196794983395</v>
      </c>
      <c r="L23" s="15"/>
    </row>
    <row r="24" spans="1:12" s="14" customFormat="1" ht="15" x14ac:dyDescent="0.3">
      <c r="A24" s="51"/>
      <c r="B24" s="57" t="s">
        <v>57</v>
      </c>
      <c r="C24" s="35">
        <v>32871.740000000005</v>
      </c>
      <c r="D24" s="36">
        <v>38683.120000000003</v>
      </c>
      <c r="E24" s="58">
        <v>0.17678954627896171</v>
      </c>
      <c r="F24" s="35">
        <v>324.81570041074781</v>
      </c>
      <c r="G24" s="36">
        <v>238.82662454527963</v>
      </c>
      <c r="H24" s="58">
        <v>-0.26473189490757415</v>
      </c>
      <c r="I24" s="35">
        <v>10677257.251819996</v>
      </c>
      <c r="J24" s="55">
        <v>9238558.9764799979</v>
      </c>
      <c r="K24" s="59">
        <v>-0.13474418021489221</v>
      </c>
      <c r="L24" s="15"/>
    </row>
    <row r="25" spans="1:12" s="14" customFormat="1" ht="15" x14ac:dyDescent="0.3">
      <c r="A25" s="51"/>
      <c r="B25" s="57" t="s">
        <v>58</v>
      </c>
      <c r="C25" s="35">
        <v>57646.455999999998</v>
      </c>
      <c r="D25" s="36">
        <v>59989.95</v>
      </c>
      <c r="E25" s="37">
        <v>4.0652872051666088E-2</v>
      </c>
      <c r="F25" s="36">
        <v>322.78117218515575</v>
      </c>
      <c r="G25" s="36">
        <v>287.44931134965105</v>
      </c>
      <c r="H25" s="37">
        <v>-0.10946072410703502</v>
      </c>
      <c r="I25" s="35">
        <v>18607190.640000004</v>
      </c>
      <c r="J25" s="55">
        <v>17244069.815399997</v>
      </c>
      <c r="K25" s="60">
        <v>-7.3257744867175026E-2</v>
      </c>
      <c r="L25" s="15"/>
    </row>
    <row r="26" spans="1:12" s="14" customFormat="1" ht="15" x14ac:dyDescent="0.3">
      <c r="A26" s="51"/>
      <c r="B26" s="57" t="s">
        <v>59</v>
      </c>
      <c r="C26" s="35">
        <v>2492</v>
      </c>
      <c r="D26" s="36">
        <v>2743.99</v>
      </c>
      <c r="E26" s="58">
        <v>0.10111958266452639</v>
      </c>
      <c r="F26" s="35">
        <v>1271.7736757624398</v>
      </c>
      <c r="G26" s="36">
        <v>1281.4506357530461</v>
      </c>
      <c r="H26" s="58">
        <v>7.6090268064440535E-3</v>
      </c>
      <c r="I26" s="35">
        <v>3169260</v>
      </c>
      <c r="J26" s="55">
        <v>3516287.7300000004</v>
      </c>
      <c r="K26" s="59">
        <v>0.10949803108612119</v>
      </c>
      <c r="L26" s="15"/>
    </row>
    <row r="27" spans="1:12" s="14" customFormat="1" ht="15" x14ac:dyDescent="0.3">
      <c r="A27" s="51"/>
      <c r="B27" s="57" t="s">
        <v>60</v>
      </c>
      <c r="C27" s="35">
        <v>4522.4500000000007</v>
      </c>
      <c r="D27" s="36">
        <v>4688.5700000000006</v>
      </c>
      <c r="E27" s="58">
        <v>3.6732302181339729E-2</v>
      </c>
      <c r="F27" s="35">
        <v>871.13126071045542</v>
      </c>
      <c r="G27" s="36">
        <v>858.08362885485337</v>
      </c>
      <c r="H27" s="58">
        <v>-1.4977802363516363E-2</v>
      </c>
      <c r="I27" s="35">
        <v>3939647.57</v>
      </c>
      <c r="J27" s="55">
        <v>4023185.1597400005</v>
      </c>
      <c r="K27" s="59">
        <v>2.1204330655394302E-2</v>
      </c>
      <c r="L27" s="15"/>
    </row>
    <row r="28" spans="1:12" s="14" customFormat="1" ht="15" x14ac:dyDescent="0.3">
      <c r="A28" s="51"/>
      <c r="B28" s="34" t="s">
        <v>61</v>
      </c>
      <c r="C28" s="61">
        <v>12229</v>
      </c>
      <c r="D28" s="62">
        <v>12606</v>
      </c>
      <c r="E28" s="58">
        <v>3.0828358819200263E-2</v>
      </c>
      <c r="F28" s="35">
        <v>976.57838145047367</v>
      </c>
      <c r="G28" s="36">
        <v>939.49748673257761</v>
      </c>
      <c r="H28" s="58">
        <v>-3.7970218696446317E-2</v>
      </c>
      <c r="I28" s="35">
        <v>10430868.07</v>
      </c>
      <c r="J28" s="55">
        <v>9433864.9200000018</v>
      </c>
      <c r="K28" s="59">
        <v>-9.5581992151492962E-2</v>
      </c>
      <c r="L28" s="15"/>
    </row>
    <row r="29" spans="1:12" s="14" customFormat="1" ht="15.75" thickBot="1" x14ac:dyDescent="0.35">
      <c r="A29" s="51"/>
      <c r="B29" s="63" t="s">
        <v>17</v>
      </c>
      <c r="C29" s="64">
        <v>21833.119999999999</v>
      </c>
      <c r="D29" s="39">
        <v>34038.728999999999</v>
      </c>
      <c r="E29" s="58">
        <v>0.55904098910279432</v>
      </c>
      <c r="F29" s="35">
        <v>274.5</v>
      </c>
      <c r="G29" s="39">
        <v>239.26</v>
      </c>
      <c r="H29" s="58">
        <v>-0.12837887067395268</v>
      </c>
      <c r="I29" s="64">
        <v>5993191.4399999995</v>
      </c>
      <c r="J29" s="65">
        <v>8144106.3005399993</v>
      </c>
      <c r="K29" s="66">
        <v>0.35889306758737544</v>
      </c>
      <c r="L29" s="15"/>
    </row>
    <row r="30" spans="1:12" s="14" customFormat="1" ht="15.75" thickBot="1" x14ac:dyDescent="0.35">
      <c r="A30" s="51"/>
      <c r="B30" s="57"/>
      <c r="C30" s="40">
        <v>422623.96</v>
      </c>
      <c r="D30" s="40">
        <v>455084.56299999997</v>
      </c>
      <c r="E30" s="42">
        <v>7.6807294598252168E-2</v>
      </c>
      <c r="F30" s="40">
        <v>422.20936795364133</v>
      </c>
      <c r="G30" s="41">
        <v>346.92092759259992</v>
      </c>
      <c r="H30" s="42">
        <v>-0.17832015600683709</v>
      </c>
      <c r="I30" s="40">
        <v>178435795.033665</v>
      </c>
      <c r="J30" s="40">
        <v>157878358.72903296</v>
      </c>
      <c r="K30" s="42">
        <v>-0.11520915016380834</v>
      </c>
      <c r="L30" s="15"/>
    </row>
    <row r="31" spans="1:12" s="14" customFormat="1" ht="13.5" customHeight="1" thickBot="1" x14ac:dyDescent="0.3">
      <c r="A31" s="51"/>
      <c r="B31" s="15"/>
      <c r="C31" s="13"/>
      <c r="D31" s="13"/>
      <c r="F31" s="13"/>
      <c r="G31" s="13"/>
      <c r="I31" s="13"/>
      <c r="J31" s="13"/>
      <c r="L31" s="15"/>
    </row>
    <row r="32" spans="1:12" s="14" customFormat="1" ht="13.5" customHeight="1" x14ac:dyDescent="0.25">
      <c r="A32" s="51"/>
      <c r="B32" s="16" t="s">
        <v>62</v>
      </c>
      <c r="C32" s="17"/>
      <c r="D32" s="17"/>
      <c r="E32" s="17"/>
      <c r="F32" s="17"/>
      <c r="G32" s="17"/>
      <c r="H32" s="17"/>
      <c r="I32" s="17"/>
      <c r="J32" s="17"/>
      <c r="K32" s="18"/>
      <c r="L32" s="15"/>
    </row>
    <row r="33" spans="1:14" s="14" customFormat="1" ht="13.5" customHeight="1" x14ac:dyDescent="0.25">
      <c r="A33" s="51"/>
      <c r="B33" s="19"/>
      <c r="C33" s="20"/>
      <c r="D33" s="20"/>
      <c r="E33" s="20"/>
      <c r="F33" s="20"/>
      <c r="G33" s="20"/>
      <c r="H33" s="20"/>
      <c r="I33" s="20"/>
      <c r="J33" s="20"/>
      <c r="K33" s="21"/>
      <c r="L33" s="15"/>
    </row>
    <row r="34" spans="1:14" s="14" customFormat="1" ht="13.5" customHeight="1" x14ac:dyDescent="0.3">
      <c r="A34" s="51"/>
      <c r="B34" s="754" t="s">
        <v>51</v>
      </c>
      <c r="C34" s="756" t="s">
        <v>63</v>
      </c>
      <c r="D34" s="757"/>
      <c r="E34" s="758"/>
      <c r="F34" s="756" t="s">
        <v>53</v>
      </c>
      <c r="G34" s="757"/>
      <c r="H34" s="758"/>
      <c r="I34" s="756" t="s">
        <v>64</v>
      </c>
      <c r="J34" s="757"/>
      <c r="K34" s="767"/>
      <c r="L34" s="15"/>
    </row>
    <row r="35" spans="1:14" s="14" customFormat="1" ht="15" x14ac:dyDescent="0.25">
      <c r="A35" s="51"/>
      <c r="B35" s="755"/>
      <c r="C35" s="22">
        <f>+$C$1</f>
        <v>42339</v>
      </c>
      <c r="D35" s="23">
        <f>+$D$1</f>
        <v>42705</v>
      </c>
      <c r="E35" s="24" t="str">
        <f>+$E$1</f>
        <v>2016 / 2015</v>
      </c>
      <c r="F35" s="22">
        <f>+$C$1</f>
        <v>42339</v>
      </c>
      <c r="G35" s="23">
        <f>+$D$1</f>
        <v>42705</v>
      </c>
      <c r="H35" s="24" t="str">
        <f>+$E$1</f>
        <v>2016 / 2015</v>
      </c>
      <c r="I35" s="22">
        <f>+$C$1</f>
        <v>42339</v>
      </c>
      <c r="J35" s="23">
        <f>+$D$1</f>
        <v>42705</v>
      </c>
      <c r="K35" s="24" t="str">
        <f>+$E$1</f>
        <v>2016 / 2015</v>
      </c>
      <c r="L35" s="15"/>
    </row>
    <row r="36" spans="1:14" s="14" customFormat="1" ht="14.25" thickBot="1" x14ac:dyDescent="0.3">
      <c r="A36" s="51"/>
      <c r="B36" s="52"/>
      <c r="C36" s="26"/>
      <c r="D36" s="26"/>
      <c r="E36" s="27"/>
      <c r="F36" s="26"/>
      <c r="G36" s="26"/>
      <c r="H36" s="27"/>
      <c r="I36" s="26"/>
      <c r="J36" s="26"/>
      <c r="K36" s="28"/>
      <c r="L36" s="15"/>
    </row>
    <row r="37" spans="1:14" s="14" customFormat="1" ht="15.75" thickBot="1" x14ac:dyDescent="0.35">
      <c r="A37" s="51"/>
      <c r="B37" s="67" t="s">
        <v>65</v>
      </c>
      <c r="C37" s="68"/>
      <c r="D37" s="68"/>
      <c r="E37" s="68"/>
      <c r="F37" s="68"/>
      <c r="G37" s="68"/>
      <c r="H37" s="68"/>
      <c r="I37" s="68"/>
      <c r="J37" s="68"/>
      <c r="K37" s="69"/>
      <c r="L37" s="43"/>
      <c r="M37" s="71">
        <v>136327.18</v>
      </c>
      <c r="N37" s="30">
        <v>312.51655025798959</v>
      </c>
    </row>
    <row r="38" spans="1:14" s="14" customFormat="1" ht="15" x14ac:dyDescent="0.3">
      <c r="A38" s="51"/>
      <c r="B38" s="70" t="s">
        <v>66</v>
      </c>
      <c r="C38" s="71">
        <v>136327.18</v>
      </c>
      <c r="D38" s="72">
        <v>154181.15999999997</v>
      </c>
      <c r="E38" s="32">
        <v>0.1309641995088579</v>
      </c>
      <c r="F38" s="30">
        <v>312.51655025798959</v>
      </c>
      <c r="G38" s="31">
        <v>343.11967817598475</v>
      </c>
      <c r="H38" s="32">
        <v>9.7924823158106564E-2</v>
      </c>
      <c r="I38" s="30">
        <v>42604499.999999993</v>
      </c>
      <c r="J38" s="31">
        <v>52902590</v>
      </c>
      <c r="K38" s="32">
        <v>0.24171366874391226</v>
      </c>
      <c r="L38" s="33"/>
      <c r="M38" s="74">
        <v>31229.47</v>
      </c>
      <c r="N38" s="35">
        <v>437.96132307080461</v>
      </c>
    </row>
    <row r="39" spans="1:14" s="14" customFormat="1" ht="15" x14ac:dyDescent="0.3">
      <c r="A39" s="51"/>
      <c r="B39" s="73" t="s">
        <v>67</v>
      </c>
      <c r="C39" s="74">
        <v>31229.47</v>
      </c>
      <c r="D39" s="75">
        <v>39229.999999999993</v>
      </c>
      <c r="E39" s="37">
        <v>0.25618526347068943</v>
      </c>
      <c r="F39" s="35">
        <v>437.96132307080461</v>
      </c>
      <c r="G39" s="36">
        <v>463.57965842467507</v>
      </c>
      <c r="H39" s="37">
        <v>5.8494515392923822E-2</v>
      </c>
      <c r="I39" s="35">
        <v>13677300.000000002</v>
      </c>
      <c r="J39" s="36">
        <v>18186230</v>
      </c>
      <c r="K39" s="37">
        <v>0.32966521170113966</v>
      </c>
      <c r="L39" s="33"/>
      <c r="M39" s="74">
        <f>M37+M38</f>
        <v>167556.65</v>
      </c>
      <c r="N39" s="13">
        <f>(M37*N37+M38*N38)/M39</f>
        <v>335.89714284691172</v>
      </c>
    </row>
    <row r="40" spans="1:14" s="14" customFormat="1" ht="15.75" thickBot="1" x14ac:dyDescent="0.35">
      <c r="A40" s="51"/>
      <c r="B40" s="73" t="s">
        <v>32</v>
      </c>
      <c r="C40" s="146">
        <f>C38+C39</f>
        <v>167556.65</v>
      </c>
      <c r="D40" s="151">
        <f>D38+D39</f>
        <v>193411.15999999997</v>
      </c>
      <c r="E40" s="105">
        <f>(D40-C40)/C40</f>
        <v>0.15430309689290148</v>
      </c>
      <c r="F40" s="106">
        <f>N39</f>
        <v>335.89714284691172</v>
      </c>
      <c r="G40" s="107">
        <f>N43</f>
        <v>367.5528340763791</v>
      </c>
      <c r="H40" s="105">
        <f>(G40-F40)/F40</f>
        <v>9.4242216415323182E-2</v>
      </c>
      <c r="I40" s="146">
        <f>I38+I39</f>
        <v>56281799.999999993</v>
      </c>
      <c r="J40" s="151">
        <f>J38+J39</f>
        <v>71088820</v>
      </c>
      <c r="K40" s="105">
        <f>(J40-I40)/I40</f>
        <v>0.26308717915915997</v>
      </c>
      <c r="L40" s="33"/>
    </row>
    <row r="41" spans="1:14" ht="15" x14ac:dyDescent="0.3">
      <c r="B41" s="73" t="s">
        <v>68</v>
      </c>
      <c r="C41" s="74">
        <v>69727.100000000006</v>
      </c>
      <c r="D41" s="75">
        <v>66490.100000000006</v>
      </c>
      <c r="E41" s="37">
        <v>-4.6423843813954688E-2</v>
      </c>
      <c r="F41" s="35">
        <v>296.8778279894043</v>
      </c>
      <c r="G41" s="36">
        <v>274.06004803722658</v>
      </c>
      <c r="H41" s="37">
        <v>-7.6859158215722645E-2</v>
      </c>
      <c r="I41" s="35">
        <v>20700429.999999993</v>
      </c>
      <c r="J41" s="36">
        <v>18222280</v>
      </c>
      <c r="K41" s="37">
        <v>-0.11971490447299855</v>
      </c>
      <c r="L41" s="33"/>
      <c r="M41" s="72">
        <v>154181.16</v>
      </c>
      <c r="N41" s="31">
        <v>343.11967817598475</v>
      </c>
    </row>
    <row r="42" spans="1:14" ht="15" x14ac:dyDescent="0.3">
      <c r="B42" s="73" t="s">
        <v>69</v>
      </c>
      <c r="C42" s="74">
        <v>24535.83</v>
      </c>
      <c r="D42" s="75">
        <v>26248.730000000003</v>
      </c>
      <c r="E42" s="37">
        <v>6.9812188949793075E-2</v>
      </c>
      <c r="F42" s="35">
        <v>420.79929637595302</v>
      </c>
      <c r="G42" s="36">
        <v>417.0597967977879</v>
      </c>
      <c r="H42" s="37">
        <v>-8.8866583437063485E-3</v>
      </c>
      <c r="I42" s="35">
        <v>10324660</v>
      </c>
      <c r="J42" s="36">
        <v>10947290</v>
      </c>
      <c r="K42" s="37">
        <v>6.0305133534663609E-2</v>
      </c>
      <c r="L42" s="33"/>
      <c r="M42" s="75">
        <v>39229.999999999993</v>
      </c>
      <c r="N42" s="36">
        <v>463.57965842467507</v>
      </c>
    </row>
    <row r="43" spans="1:14" ht="15" x14ac:dyDescent="0.3">
      <c r="B43" s="73" t="s">
        <v>70</v>
      </c>
      <c r="C43" s="74">
        <v>4268.38</v>
      </c>
      <c r="D43" s="75">
        <v>4092.8999999999996</v>
      </c>
      <c r="E43" s="37">
        <v>-4.1111616116653267E-2</v>
      </c>
      <c r="F43" s="35">
        <v>2609.8634610789109</v>
      </c>
      <c r="G43" s="36">
        <v>2641.2348212758684</v>
      </c>
      <c r="H43" s="37">
        <v>1.2020307063875557E-2</v>
      </c>
      <c r="I43" s="35">
        <v>11139889.000000002</v>
      </c>
      <c r="J43" s="36">
        <v>10810310</v>
      </c>
      <c r="K43" s="37">
        <v>-2.9585483302392135E-2</v>
      </c>
      <c r="L43" s="33"/>
      <c r="M43" s="75">
        <f>M41+M42</f>
        <v>193411.16</v>
      </c>
      <c r="N43" s="13">
        <f>(M41*N41+M42*N42)/M43</f>
        <v>367.5528340763791</v>
      </c>
    </row>
    <row r="44" spans="1:14" ht="15" x14ac:dyDescent="0.3">
      <c r="B44" s="73" t="s">
        <v>71</v>
      </c>
      <c r="C44" s="74">
        <v>146071.92000000004</v>
      </c>
      <c r="D44" s="75">
        <v>121795.49999999999</v>
      </c>
      <c r="E44" s="37">
        <v>-0.16619498121199508</v>
      </c>
      <c r="F44" s="35">
        <v>85.062481550184316</v>
      </c>
      <c r="G44" s="36">
        <v>79.78833372333132</v>
      </c>
      <c r="H44" s="37">
        <v>-6.2003220817645754E-2</v>
      </c>
      <c r="I44" s="35">
        <v>12425240.000000004</v>
      </c>
      <c r="J44" s="36">
        <v>9717859.9999999981</v>
      </c>
      <c r="K44" s="37">
        <v>-0.2178935779107691</v>
      </c>
      <c r="L44" s="33"/>
    </row>
    <row r="45" spans="1:14" ht="15" x14ac:dyDescent="0.3">
      <c r="B45" s="73" t="s">
        <v>72</v>
      </c>
      <c r="C45" s="74">
        <v>29937.230000000003</v>
      </c>
      <c r="D45" s="75">
        <v>30683.95</v>
      </c>
      <c r="E45" s="37">
        <v>2.4942855434520742E-2</v>
      </c>
      <c r="F45" s="35">
        <v>97.880465226742743</v>
      </c>
      <c r="G45" s="36">
        <v>86.203373424868715</v>
      </c>
      <c r="H45" s="37">
        <v>-0.11929951267419632</v>
      </c>
      <c r="I45" s="35">
        <v>2930270</v>
      </c>
      <c r="J45" s="36">
        <v>2645060.0000000005</v>
      </c>
      <c r="K45" s="37">
        <v>-9.7332327737716842E-2</v>
      </c>
      <c r="L45" s="33"/>
      <c r="M45" s="74">
        <v>22975.48</v>
      </c>
      <c r="N45" s="35">
        <v>788.77481558600732</v>
      </c>
    </row>
    <row r="46" spans="1:14" ht="15" x14ac:dyDescent="0.3">
      <c r="B46" s="73" t="s">
        <v>73</v>
      </c>
      <c r="C46" s="74">
        <v>22975.48</v>
      </c>
      <c r="D46" s="75">
        <v>21654.46</v>
      </c>
      <c r="E46" s="37">
        <v>-5.7496948921197749E-2</v>
      </c>
      <c r="F46" s="35">
        <v>788.77481558600732</v>
      </c>
      <c r="G46" s="36">
        <v>736.07607855379456</v>
      </c>
      <c r="H46" s="37">
        <v>-6.6810876806533304E-2</v>
      </c>
      <c r="I46" s="35">
        <v>18122480</v>
      </c>
      <c r="J46" s="36">
        <v>15939330.000000002</v>
      </c>
      <c r="K46" s="37">
        <v>-0.12046640415660539</v>
      </c>
      <c r="L46" s="33"/>
      <c r="M46" s="74">
        <v>11630.41</v>
      </c>
      <c r="N46" s="35">
        <v>932.04710753963116</v>
      </c>
    </row>
    <row r="47" spans="1:14" ht="15" x14ac:dyDescent="0.3">
      <c r="B47" s="73" t="s">
        <v>74</v>
      </c>
      <c r="C47" s="74">
        <v>11630.41</v>
      </c>
      <c r="D47" s="75">
        <v>10147.23</v>
      </c>
      <c r="E47" s="37">
        <v>-0.12752602874705193</v>
      </c>
      <c r="F47" s="35">
        <v>932.04710753963116</v>
      </c>
      <c r="G47" s="36">
        <v>898.40872829333728</v>
      </c>
      <c r="H47" s="37">
        <v>-3.6090857397852671E-2</v>
      </c>
      <c r="I47" s="35">
        <v>10840090.000000002</v>
      </c>
      <c r="J47" s="36">
        <v>9116360</v>
      </c>
      <c r="K47" s="37">
        <v>-0.15901436242688036</v>
      </c>
      <c r="L47" s="33"/>
      <c r="M47" s="74">
        <f>M45+M46</f>
        <v>34605.89</v>
      </c>
      <c r="N47" s="13">
        <f>(M45*N45+M46*N46)/M47</f>
        <v>836.92602617646878</v>
      </c>
    </row>
    <row r="48" spans="1:14" ht="15" x14ac:dyDescent="0.3">
      <c r="B48" s="73" t="s">
        <v>33</v>
      </c>
      <c r="C48" s="146">
        <f>C46+C47</f>
        <v>34605.89</v>
      </c>
      <c r="D48" s="151">
        <f>D46+D47</f>
        <v>31801.69</v>
      </c>
      <c r="E48" s="105">
        <f>(D48-C48)/C48</f>
        <v>-8.1032448522491418E-2</v>
      </c>
      <c r="F48" s="106">
        <f>N47</f>
        <v>836.92602617646878</v>
      </c>
      <c r="G48" s="107">
        <f>N51</f>
        <v>787.87290864101874</v>
      </c>
      <c r="H48" s="105">
        <f>(G48-F48)/F48</f>
        <v>-5.8611055220198181E-2</v>
      </c>
      <c r="I48" s="146">
        <f>I46+I47</f>
        <v>28962570</v>
      </c>
      <c r="J48" s="151">
        <f>J46+J47</f>
        <v>25055690</v>
      </c>
      <c r="K48" s="105">
        <f>(J48-I48)/I48</f>
        <v>-0.13489410642770996</v>
      </c>
      <c r="L48" s="33"/>
    </row>
    <row r="49" spans="1:14" ht="15" x14ac:dyDescent="0.3">
      <c r="B49" s="73" t="s">
        <v>75</v>
      </c>
      <c r="C49" s="74">
        <v>9508.8599999999988</v>
      </c>
      <c r="D49" s="75">
        <v>10764.7</v>
      </c>
      <c r="E49" s="37">
        <v>0.13207051108124446</v>
      </c>
      <c r="F49" s="35">
        <v>804.17421226098611</v>
      </c>
      <c r="G49" s="36">
        <v>756.468828671491</v>
      </c>
      <c r="H49" s="37">
        <v>-5.9322200167757737E-2</v>
      </c>
      <c r="I49" s="35">
        <v>7646779.9999999991</v>
      </c>
      <c r="J49" s="36">
        <v>8143160</v>
      </c>
      <c r="K49" s="37">
        <v>6.4913597618867155E-2</v>
      </c>
      <c r="L49" s="33"/>
      <c r="M49" s="75">
        <v>21654.46</v>
      </c>
      <c r="N49" s="36">
        <v>736.07607855379456</v>
      </c>
    </row>
    <row r="50" spans="1:14" ht="15" x14ac:dyDescent="0.3">
      <c r="B50" s="73" t="s">
        <v>16</v>
      </c>
      <c r="C50" s="74">
        <v>21032.400000000001</v>
      </c>
      <c r="D50" s="75">
        <v>20205.2</v>
      </c>
      <c r="E50" s="37">
        <v>-3.9329795933892506E-2</v>
      </c>
      <c r="F50" s="35">
        <v>1413.0686177278865</v>
      </c>
      <c r="G50" s="36">
        <v>1486.4792231702729</v>
      </c>
      <c r="H50" s="37">
        <v>5.1951196510488962E-2</v>
      </c>
      <c r="I50" s="35">
        <v>29720224.395500001</v>
      </c>
      <c r="J50" s="36">
        <v>30034610</v>
      </c>
      <c r="K50" s="37">
        <v>1.0578170619317437E-2</v>
      </c>
      <c r="L50" s="33"/>
      <c r="M50" s="75">
        <v>10147.23</v>
      </c>
      <c r="N50" s="36">
        <v>898.40872829333728</v>
      </c>
    </row>
    <row r="51" spans="1:14" ht="15" x14ac:dyDescent="0.3">
      <c r="A51" s="15"/>
      <c r="B51" s="73" t="s">
        <v>76</v>
      </c>
      <c r="C51" s="74">
        <v>152988.94999999998</v>
      </c>
      <c r="D51" s="75">
        <v>156239.19999999998</v>
      </c>
      <c r="E51" s="37">
        <v>2.1244998413284099E-2</v>
      </c>
      <c r="F51" s="35">
        <v>752.8231349695518</v>
      </c>
      <c r="G51" s="36">
        <v>757.54957486981482</v>
      </c>
      <c r="H51" s="37">
        <v>6.2782872639191405E-3</v>
      </c>
      <c r="I51" s="35">
        <v>115173620.95469999</v>
      </c>
      <c r="J51" s="36">
        <v>118358939.53799996</v>
      </c>
      <c r="K51" s="37">
        <v>2.7656667880163393E-2</v>
      </c>
      <c r="L51" s="33"/>
      <c r="M51" s="75">
        <f>M49+M50</f>
        <v>31801.69</v>
      </c>
      <c r="N51" s="13">
        <f>(M49*N49+M50*N50)/M51</f>
        <v>787.87290864101874</v>
      </c>
    </row>
    <row r="52" spans="1:14" ht="15.75" thickBot="1" x14ac:dyDescent="0.35">
      <c r="A52" s="15"/>
      <c r="B52" s="76" t="s">
        <v>77</v>
      </c>
      <c r="C52" s="77">
        <v>8696.94</v>
      </c>
      <c r="D52" s="78">
        <v>9720.9399999999987</v>
      </c>
      <c r="E52" s="79">
        <v>0.11774256232651922</v>
      </c>
      <c r="F52" s="80">
        <v>1001.4252169613679</v>
      </c>
      <c r="G52" s="39">
        <v>969.8123545585081</v>
      </c>
      <c r="H52" s="79">
        <v>-3.1567871337195783E-2</v>
      </c>
      <c r="I52" s="80">
        <v>8709335.0263999999</v>
      </c>
      <c r="J52" s="39">
        <v>9427487.7099219821</v>
      </c>
      <c r="K52" s="79">
        <v>8.2457808930888082E-2</v>
      </c>
      <c r="L52" s="33"/>
    </row>
    <row r="53" spans="1:14" ht="15.75" thickBot="1" x14ac:dyDescent="0.35">
      <c r="A53" s="15"/>
      <c r="B53" s="81"/>
      <c r="C53" s="82">
        <v>668930.14999999991</v>
      </c>
      <c r="D53" s="82">
        <v>671454.07</v>
      </c>
      <c r="E53" s="83">
        <v>3.7730695798358651E-3</v>
      </c>
      <c r="F53" s="82">
        <v>454.47917002485246</v>
      </c>
      <c r="G53" s="82">
        <v>468.31424709052993</v>
      </c>
      <c r="H53" s="83">
        <v>3.0441608720859346E-2</v>
      </c>
      <c r="I53" s="82">
        <v>304014819.37660003</v>
      </c>
      <c r="J53" s="82">
        <v>314451507.24792194</v>
      </c>
      <c r="K53" s="83">
        <v>3.4329536608521088E-2</v>
      </c>
      <c r="L53" s="33"/>
    </row>
    <row r="54" spans="1:14" ht="14.25" thickBot="1" x14ac:dyDescent="0.3">
      <c r="A54" s="15"/>
      <c r="B54" s="84"/>
      <c r="C54" s="85"/>
      <c r="D54" s="85"/>
      <c r="E54" s="86"/>
      <c r="F54" s="85"/>
      <c r="G54" s="85"/>
      <c r="H54" s="86"/>
      <c r="I54" s="85"/>
      <c r="J54" s="85"/>
      <c r="K54" s="86"/>
      <c r="L54" s="33"/>
    </row>
    <row r="55" spans="1:14" ht="15.75" thickBot="1" x14ac:dyDescent="0.35">
      <c r="A55" s="15"/>
      <c r="B55" s="87" t="s">
        <v>78</v>
      </c>
      <c r="C55" s="88"/>
      <c r="D55" s="88"/>
      <c r="E55" s="88"/>
      <c r="F55" s="88"/>
      <c r="G55" s="88"/>
      <c r="H55" s="88"/>
      <c r="I55" s="88"/>
      <c r="J55" s="88"/>
      <c r="K55" s="89"/>
      <c r="L55" s="33"/>
    </row>
    <row r="56" spans="1:14" ht="15" x14ac:dyDescent="0.3">
      <c r="A56" s="15"/>
      <c r="B56" s="90" t="s">
        <v>79</v>
      </c>
      <c r="C56" s="35">
        <v>48980.669999999882</v>
      </c>
      <c r="D56" s="36">
        <v>49219.949999999881</v>
      </c>
      <c r="E56" s="91">
        <v>4.8851924647008585E-3</v>
      </c>
      <c r="F56" s="35">
        <v>311.28466086723648</v>
      </c>
      <c r="G56" s="36">
        <v>249.02827085358723</v>
      </c>
      <c r="H56" s="37">
        <v>-0.19999825831508519</v>
      </c>
      <c r="I56" s="85">
        <v>15246931.249999987</v>
      </c>
      <c r="J56" s="36">
        <v>12257159.039999992</v>
      </c>
      <c r="K56" s="37">
        <v>-0.19609009583485842</v>
      </c>
      <c r="L56" s="33"/>
    </row>
    <row r="57" spans="1:14" ht="15" x14ac:dyDescent="0.3">
      <c r="A57" s="15"/>
      <c r="B57" s="92" t="s">
        <v>20</v>
      </c>
      <c r="C57" s="35">
        <v>65241.829999999929</v>
      </c>
      <c r="D57" s="36">
        <v>66102.439999999944</v>
      </c>
      <c r="E57" s="91">
        <v>1.319107695170439E-2</v>
      </c>
      <c r="F57" s="35">
        <v>648.24161661314497</v>
      </c>
      <c r="G57" s="36">
        <v>509.01912486135171</v>
      </c>
      <c r="H57" s="37">
        <v>-0.21476944426861427</v>
      </c>
      <c r="I57" s="85">
        <v>42292469.349999934</v>
      </c>
      <c r="J57" s="36">
        <v>33647406.159999982</v>
      </c>
      <c r="K57" s="37">
        <v>-0.20441140758313198</v>
      </c>
      <c r="L57" s="33"/>
    </row>
    <row r="58" spans="1:14" ht="15" x14ac:dyDescent="0.3">
      <c r="A58" s="15"/>
      <c r="B58" s="92" t="s">
        <v>21</v>
      </c>
      <c r="C58" s="35">
        <v>25499.579999999944</v>
      </c>
      <c r="D58" s="36">
        <v>26781.449999999943</v>
      </c>
      <c r="E58" s="91">
        <v>5.0270239745125282E-2</v>
      </c>
      <c r="F58" s="35">
        <v>1346.340260898415</v>
      </c>
      <c r="G58" s="36">
        <v>1281.371731926391</v>
      </c>
      <c r="H58" s="37">
        <v>-4.8255653387851843E-2</v>
      </c>
      <c r="I58" s="85">
        <v>34331111.189999931</v>
      </c>
      <c r="J58" s="36">
        <v>34316992.969999969</v>
      </c>
      <c r="K58" s="37">
        <v>-4.1123690759167601E-4</v>
      </c>
      <c r="L58" s="33"/>
      <c r="M58" s="35">
        <v>21406.759999999958</v>
      </c>
      <c r="N58" s="35">
        <v>1182.8462793995925</v>
      </c>
    </row>
    <row r="59" spans="1:14" ht="15.75" thickBot="1" x14ac:dyDescent="0.35">
      <c r="A59" s="15"/>
      <c r="B59" s="92" t="s">
        <v>56</v>
      </c>
      <c r="C59" s="35">
        <v>35297.71999999995</v>
      </c>
      <c r="D59" s="36">
        <v>39248.979999999952</v>
      </c>
      <c r="E59" s="91">
        <v>0.11194094122793222</v>
      </c>
      <c r="F59" s="35">
        <v>320.67228619865534</v>
      </c>
      <c r="G59" s="36">
        <v>220.99689877291095</v>
      </c>
      <c r="H59" s="37">
        <v>-0.31083255933129139</v>
      </c>
      <c r="I59" s="85">
        <v>11319000.569999985</v>
      </c>
      <c r="J59" s="36">
        <v>8673902.8599999957</v>
      </c>
      <c r="K59" s="37">
        <v>-0.23368650735919108</v>
      </c>
      <c r="L59" s="33"/>
      <c r="M59" s="80">
        <v>250.31999999999942</v>
      </c>
      <c r="N59" s="80">
        <v>1974.8856263982132</v>
      </c>
    </row>
    <row r="60" spans="1:14" ht="15" x14ac:dyDescent="0.3">
      <c r="A60" s="15"/>
      <c r="B60" s="92" t="s">
        <v>19</v>
      </c>
      <c r="C60" s="35">
        <v>71172.209999999948</v>
      </c>
      <c r="D60" s="36">
        <v>66034.589999999924</v>
      </c>
      <c r="E60" s="91">
        <v>-7.2185759020269677E-2</v>
      </c>
      <c r="F60" s="35">
        <v>239.67825981517186</v>
      </c>
      <c r="G60" s="36">
        <v>187.28833070667949</v>
      </c>
      <c r="H60" s="37">
        <v>-0.21858440206004881</v>
      </c>
      <c r="I60" s="85">
        <v>17058431.43999996</v>
      </c>
      <c r="J60" s="36">
        <v>12367508.129999977</v>
      </c>
      <c r="K60" s="37">
        <v>-0.27499148010762203</v>
      </c>
      <c r="L60" s="33"/>
      <c r="M60" s="106">
        <f>M58+M59</f>
        <v>21657.079999999958</v>
      </c>
      <c r="N60" s="13">
        <f>(M58*N58+M59*N59)/M60</f>
        <v>1192.0009433404698</v>
      </c>
    </row>
    <row r="61" spans="1:14" ht="15" x14ac:dyDescent="0.3">
      <c r="A61" s="15"/>
      <c r="B61" s="92" t="s">
        <v>24</v>
      </c>
      <c r="C61" s="35">
        <v>21406.759999999958</v>
      </c>
      <c r="D61" s="36">
        <v>19358.909999999974</v>
      </c>
      <c r="E61" s="91">
        <v>-9.5663706231115211E-2</v>
      </c>
      <c r="F61" s="35">
        <v>1182.8462793995925</v>
      </c>
      <c r="G61" s="36">
        <v>1190.6912455298368</v>
      </c>
      <c r="H61" s="37">
        <v>6.6322786543542853E-3</v>
      </c>
      <c r="I61" s="85">
        <v>25320906.419999972</v>
      </c>
      <c r="J61" s="36">
        <v>23050484.659999982</v>
      </c>
      <c r="K61" s="37">
        <v>-8.9665895933594031E-2</v>
      </c>
      <c r="L61" s="33"/>
    </row>
    <row r="62" spans="1:14" ht="15.75" thickBot="1" x14ac:dyDescent="0.35">
      <c r="A62" s="15"/>
      <c r="B62" s="63" t="s">
        <v>82</v>
      </c>
      <c r="C62" s="80">
        <v>250.31999999999942</v>
      </c>
      <c r="D62" s="39">
        <v>176.66999999999962</v>
      </c>
      <c r="E62" s="91">
        <v>-0.29422339405560871</v>
      </c>
      <c r="F62" s="80">
        <v>1974.8856263982132</v>
      </c>
      <c r="G62" s="39">
        <v>1973.6295352917882</v>
      </c>
      <c r="H62" s="37">
        <v>-6.3603232999158519E-4</v>
      </c>
      <c r="I62" s="80">
        <v>494353.36999999959</v>
      </c>
      <c r="J62" s="39">
        <v>348681.12999999948</v>
      </c>
      <c r="K62" s="37">
        <v>-0.29467229079474105</v>
      </c>
      <c r="L62" s="33"/>
      <c r="M62" s="36">
        <v>19358.909999999974</v>
      </c>
      <c r="N62" s="36">
        <v>1190.6912455298368</v>
      </c>
    </row>
    <row r="63" spans="1:14" ht="15.75" thickBot="1" x14ac:dyDescent="0.35">
      <c r="A63" s="15"/>
      <c r="B63" s="92" t="s">
        <v>34</v>
      </c>
      <c r="C63" s="106">
        <f>C61+C62</f>
        <v>21657.079999999958</v>
      </c>
      <c r="D63" s="106">
        <f>D61+D62</f>
        <v>19535.579999999973</v>
      </c>
      <c r="E63" s="105">
        <f>(D63-C63)/C63</f>
        <v>-9.7958727584696995E-2</v>
      </c>
      <c r="F63" s="106">
        <f>N60</f>
        <v>1192.0009433404698</v>
      </c>
      <c r="G63" s="107">
        <f>N64</f>
        <v>1197.7717472427239</v>
      </c>
      <c r="H63" s="105">
        <f>(G63-F63)/F63</f>
        <v>4.8412746101374462E-3</v>
      </c>
      <c r="I63" s="106">
        <f>I61+I62</f>
        <v>25815259.789999973</v>
      </c>
      <c r="J63" s="106">
        <f>J61+J62</f>
        <v>23399165.78999998</v>
      </c>
      <c r="K63" s="105">
        <f>(J63-I63)/I63</f>
        <v>-9.3591698075256718E-2</v>
      </c>
      <c r="L63" s="33"/>
      <c r="M63" s="39">
        <v>176.66999999999962</v>
      </c>
      <c r="N63" s="39">
        <v>1973.6295352917882</v>
      </c>
    </row>
    <row r="64" spans="1:14" ht="15" x14ac:dyDescent="0.3">
      <c r="A64" s="15"/>
      <c r="B64" s="92" t="s">
        <v>80</v>
      </c>
      <c r="C64" s="35">
        <v>14143.659999999978</v>
      </c>
      <c r="D64" s="36">
        <v>14134.129999999979</v>
      </c>
      <c r="E64" s="91">
        <v>-6.7380013377010264E-4</v>
      </c>
      <c r="F64" s="35">
        <v>607.61452481182425</v>
      </c>
      <c r="G64" s="36">
        <v>563.35669687486961</v>
      </c>
      <c r="H64" s="37">
        <v>-7.2838660252009468E-2</v>
      </c>
      <c r="I64" s="85">
        <v>8593893.2499999925</v>
      </c>
      <c r="J64" s="36">
        <v>7962556.7899999889</v>
      </c>
      <c r="K64" s="37">
        <v>-7.3463381686758117E-2</v>
      </c>
      <c r="L64" s="33"/>
      <c r="M64" s="106">
        <f>M62+M63</f>
        <v>19535.579999999973</v>
      </c>
      <c r="N64" s="13">
        <f>(M62*N62+M63*N63)/M64</f>
        <v>1197.7717472427239</v>
      </c>
    </row>
    <row r="65" spans="1:19" ht="15" x14ac:dyDescent="0.3">
      <c r="A65" s="15"/>
      <c r="B65" s="92" t="s">
        <v>81</v>
      </c>
      <c r="C65" s="35">
        <v>5286.2799999999943</v>
      </c>
      <c r="D65" s="36">
        <v>5220.849999999994</v>
      </c>
      <c r="E65" s="91">
        <v>-1.2377323940464818E-2</v>
      </c>
      <c r="F65" s="35">
        <v>891.6918721671949</v>
      </c>
      <c r="G65" s="36">
        <v>884.4118984456552</v>
      </c>
      <c r="H65" s="37">
        <v>-8.164225725021174E-3</v>
      </c>
      <c r="I65" s="85">
        <v>4713732.9099999936</v>
      </c>
      <c r="J65" s="36">
        <v>4617381.8599999938</v>
      </c>
      <c r="K65" s="37">
        <v>-2.0440498398964217E-2</v>
      </c>
      <c r="L65" s="33"/>
    </row>
    <row r="66" spans="1:19" ht="15" x14ac:dyDescent="0.3">
      <c r="A66" s="15"/>
      <c r="B66" s="92" t="s">
        <v>22</v>
      </c>
      <c r="C66" s="35">
        <v>1491.9999999999984</v>
      </c>
      <c r="D66" s="36">
        <v>1537.9799999999966</v>
      </c>
      <c r="E66" s="91">
        <v>3.0817694369972018E-2</v>
      </c>
      <c r="F66" s="35">
        <v>3586.7572050938365</v>
      </c>
      <c r="G66" s="36">
        <v>4016.259899348504</v>
      </c>
      <c r="H66" s="37">
        <v>0.11974679904307345</v>
      </c>
      <c r="I66" s="85">
        <v>5351441.7499999981</v>
      </c>
      <c r="J66" s="36">
        <v>6176927.3999999985</v>
      </c>
      <c r="K66" s="37">
        <v>0.15425481366773741</v>
      </c>
      <c r="L66" s="33"/>
    </row>
    <row r="67" spans="1:19" ht="15.75" thickBot="1" x14ac:dyDescent="0.35">
      <c r="A67" s="15"/>
      <c r="B67" s="92" t="s">
        <v>23</v>
      </c>
      <c r="C67" s="35">
        <v>17748.899999999991</v>
      </c>
      <c r="D67" s="36">
        <v>20437.96</v>
      </c>
      <c r="E67" s="91">
        <v>0.15150572711548377</v>
      </c>
      <c r="F67" s="35">
        <v>291.33344827003356</v>
      </c>
      <c r="G67" s="36">
        <v>192.05159908327425</v>
      </c>
      <c r="H67" s="37">
        <v>-0.34078424491353332</v>
      </c>
      <c r="I67" s="85">
        <v>5170848.2399999956</v>
      </c>
      <c r="J67" s="36">
        <v>3925142.8999999957</v>
      </c>
      <c r="K67" s="37">
        <v>-0.24090928261317546</v>
      </c>
      <c r="L67" s="33"/>
    </row>
    <row r="68" spans="1:19" ht="15.75" thickBot="1" x14ac:dyDescent="0.35">
      <c r="A68" s="15"/>
      <c r="B68" s="93"/>
      <c r="C68" s="40">
        <v>306519.92999999953</v>
      </c>
      <c r="D68" s="40">
        <v>308253.90999999957</v>
      </c>
      <c r="E68" s="42">
        <v>5.6569894166426382E-3</v>
      </c>
      <c r="F68" s="40">
        <v>554.26451304487796</v>
      </c>
      <c r="G68" s="40">
        <v>477.99602574384244</v>
      </c>
      <c r="H68" s="42">
        <v>-0.13760304963789044</v>
      </c>
      <c r="I68" s="40">
        <v>169893119.7399998</v>
      </c>
      <c r="J68" s="40">
        <v>147344143.89999989</v>
      </c>
      <c r="K68" s="42">
        <v>-0.13272447921674702</v>
      </c>
      <c r="L68" s="33"/>
    </row>
    <row r="69" spans="1:19" ht="13.5" customHeight="1" thickBot="1" x14ac:dyDescent="0.3">
      <c r="B69" s="94"/>
      <c r="C69" s="95"/>
      <c r="D69" s="95"/>
      <c r="E69" s="96"/>
      <c r="F69" s="95"/>
      <c r="G69" s="95"/>
      <c r="H69" s="96"/>
      <c r="I69" s="95"/>
      <c r="J69" s="95"/>
      <c r="K69" s="96"/>
    </row>
    <row r="70" spans="1:19" ht="13.5" customHeight="1" x14ac:dyDescent="0.25">
      <c r="B70" s="16" t="s">
        <v>62</v>
      </c>
      <c r="C70" s="17"/>
      <c r="D70" s="17"/>
      <c r="E70" s="17"/>
      <c r="F70" s="17"/>
      <c r="G70" s="17"/>
      <c r="H70" s="17"/>
      <c r="I70" s="17"/>
      <c r="J70" s="17"/>
      <c r="K70" s="18"/>
    </row>
    <row r="71" spans="1:19" ht="13.5" customHeight="1" x14ac:dyDescent="0.25">
      <c r="B71" s="19"/>
      <c r="C71" s="20"/>
      <c r="D71" s="20"/>
      <c r="E71" s="20"/>
      <c r="F71" s="20"/>
      <c r="G71" s="20"/>
      <c r="H71" s="20"/>
      <c r="I71" s="20"/>
      <c r="J71" s="20"/>
      <c r="K71" s="21"/>
    </row>
    <row r="72" spans="1:19" ht="13.5" customHeight="1" x14ac:dyDescent="0.3">
      <c r="B72" s="754" t="s">
        <v>51</v>
      </c>
      <c r="C72" s="756" t="s">
        <v>63</v>
      </c>
      <c r="D72" s="757"/>
      <c r="E72" s="758"/>
      <c r="F72" s="756" t="s">
        <v>53</v>
      </c>
      <c r="G72" s="757"/>
      <c r="H72" s="758"/>
      <c r="I72" s="756" t="s">
        <v>64</v>
      </c>
      <c r="J72" s="757"/>
      <c r="K72" s="767"/>
    </row>
    <row r="73" spans="1:19" ht="15" x14ac:dyDescent="0.25">
      <c r="B73" s="755"/>
      <c r="C73" s="22">
        <f>+$C$1</f>
        <v>42339</v>
      </c>
      <c r="D73" s="23">
        <f>+$D$1</f>
        <v>42705</v>
      </c>
      <c r="E73" s="24" t="str">
        <f>+$E$1</f>
        <v>2016 / 2015</v>
      </c>
      <c r="F73" s="22">
        <f>+$C$1</f>
        <v>42339</v>
      </c>
      <c r="G73" s="23">
        <f>+$D$1</f>
        <v>42705</v>
      </c>
      <c r="H73" s="24" t="str">
        <f>+$E$1</f>
        <v>2016 / 2015</v>
      </c>
      <c r="I73" s="22">
        <f>+$C$1</f>
        <v>42339</v>
      </c>
      <c r="J73" s="23">
        <f>+$D$1</f>
        <v>42705</v>
      </c>
      <c r="K73" s="24" t="str">
        <f>+$E$1</f>
        <v>2016 / 2015</v>
      </c>
    </row>
    <row r="74" spans="1:19" ht="14.25" thickBot="1" x14ac:dyDescent="0.3">
      <c r="B74" s="129"/>
      <c r="C74" s="95"/>
      <c r="D74" s="95"/>
      <c r="E74" s="96"/>
      <c r="F74" s="95"/>
      <c r="G74" s="95"/>
      <c r="H74" s="96"/>
      <c r="I74" s="95"/>
      <c r="J74" s="95"/>
      <c r="K74" s="130"/>
    </row>
    <row r="75" spans="1:19" ht="15.75" thickBot="1" x14ac:dyDescent="0.35">
      <c r="B75" s="152" t="s">
        <v>9</v>
      </c>
      <c r="C75" s="153"/>
      <c r="D75" s="153"/>
      <c r="E75" s="153"/>
      <c r="F75" s="153"/>
      <c r="G75" s="153"/>
      <c r="H75" s="153"/>
      <c r="I75" s="153"/>
      <c r="J75" s="153"/>
      <c r="K75" s="154"/>
      <c r="L75" s="33"/>
      <c r="M75" s="110" t="s">
        <v>83</v>
      </c>
      <c r="N75" s="86">
        <f>1564000/1000000</f>
        <v>1.5640000000000001</v>
      </c>
      <c r="O75" s="147">
        <v>0.19929529484741551</v>
      </c>
      <c r="P75" s="147">
        <v>0.20337655363216003</v>
      </c>
      <c r="Q75" s="148">
        <v>0.44320383870074803</v>
      </c>
      <c r="R75" s="86">
        <f>1083700/1000000</f>
        <v>1.0837000000000001</v>
      </c>
      <c r="S75" s="94"/>
    </row>
    <row r="76" spans="1:19" x14ac:dyDescent="0.25">
      <c r="B76" s="112" t="s">
        <v>83</v>
      </c>
      <c r="C76" s="133">
        <v>7.8671200000000008</v>
      </c>
      <c r="D76" s="134">
        <v>9.4350000000000005</v>
      </c>
      <c r="E76" s="32">
        <v>0.19929529484741551</v>
      </c>
      <c r="F76" s="30">
        <v>137750.53640976615</v>
      </c>
      <c r="G76" s="136">
        <v>165765.76576576577</v>
      </c>
      <c r="H76" s="137">
        <v>0.20337655363216003</v>
      </c>
      <c r="I76" s="30">
        <v>1083699.9999999995</v>
      </c>
      <c r="J76" s="136">
        <v>1564000</v>
      </c>
      <c r="K76" s="137">
        <v>0.44320383870074803</v>
      </c>
      <c r="L76" s="33"/>
      <c r="M76" s="110" t="s">
        <v>84</v>
      </c>
      <c r="N76" s="86">
        <f>7835000/1000000</f>
        <v>7.835</v>
      </c>
      <c r="O76" s="147">
        <v>0.19839599937181851</v>
      </c>
      <c r="P76" s="147">
        <v>0.1370650412446735</v>
      </c>
      <c r="Q76" s="149">
        <v>0.36265419645316854</v>
      </c>
      <c r="R76" s="86">
        <f>5749808/1000000</f>
        <v>5.7498079999999998</v>
      </c>
      <c r="S76" s="94"/>
    </row>
    <row r="77" spans="1:19" ht="15" x14ac:dyDescent="0.3">
      <c r="B77" s="113" t="s">
        <v>84</v>
      </c>
      <c r="C77" s="97">
        <v>48.648359999999997</v>
      </c>
      <c r="D77" s="86">
        <v>58.3</v>
      </c>
      <c r="E77" s="37">
        <v>0.19839599937181851</v>
      </c>
      <c r="F77" s="35">
        <v>118191.19904555879</v>
      </c>
      <c r="G77" s="85">
        <v>134391.08061749573</v>
      </c>
      <c r="H77" s="37">
        <v>0.1370650412446735</v>
      </c>
      <c r="I77" s="35">
        <v>5749808</v>
      </c>
      <c r="J77" s="85">
        <v>7835000</v>
      </c>
      <c r="K77" s="37">
        <v>0.36265419645316854</v>
      </c>
      <c r="L77" s="33"/>
      <c r="M77" s="81" t="s">
        <v>92</v>
      </c>
      <c r="N77" s="108">
        <f>N75+N76</f>
        <v>9.3990000000000009</v>
      </c>
      <c r="O77" s="147">
        <v>0.19852118393049131</v>
      </c>
      <c r="P77" s="147">
        <v>0.14760446105371117</v>
      </c>
      <c r="Q77" s="150">
        <f>(P77-O77)/O77</f>
        <v>-0.25648004846982847</v>
      </c>
      <c r="R77" s="108">
        <f>R75+R76</f>
        <v>6.8335080000000001</v>
      </c>
      <c r="S77" s="94"/>
    </row>
    <row r="78" spans="1:19" ht="15" x14ac:dyDescent="0.3">
      <c r="B78" s="121" t="s">
        <v>92</v>
      </c>
      <c r="C78" s="139">
        <f>C76+C77</f>
        <v>56.515479999999997</v>
      </c>
      <c r="D78" s="122">
        <f>D76+D77</f>
        <v>67.734999999999999</v>
      </c>
      <c r="E78" s="123">
        <f>(D78-C78)/C78</f>
        <v>0.19852118393049131</v>
      </c>
      <c r="F78" s="124">
        <f>C97</f>
        <v>120913.91597487981</v>
      </c>
      <c r="G78" s="126">
        <f>E97</f>
        <v>138761.34937624566</v>
      </c>
      <c r="H78" s="140">
        <f>(G78-F78)/F78</f>
        <v>0.14760446105371117</v>
      </c>
      <c r="I78" s="124">
        <f>I76+I77</f>
        <v>6833508</v>
      </c>
      <c r="J78" s="126">
        <f>J76+J77</f>
        <v>9399000</v>
      </c>
      <c r="K78" s="123">
        <f>(J78-I78)/I78</f>
        <v>0.37542825734600738</v>
      </c>
      <c r="L78" s="33"/>
      <c r="M78" s="81" t="s">
        <v>85</v>
      </c>
      <c r="N78" s="108">
        <f>1340000/1000000</f>
        <v>1.34</v>
      </c>
      <c r="O78" s="147">
        <v>-0.17280453257790368</v>
      </c>
      <c r="P78" s="147">
        <v>-5.0926670527967309E-2</v>
      </c>
      <c r="Q78" s="150">
        <v>-0.21493084360953663</v>
      </c>
      <c r="R78" s="108">
        <f>1706856/1000000</f>
        <v>1.7068559999999999</v>
      </c>
      <c r="S78" s="94"/>
    </row>
    <row r="79" spans="1:19" ht="15" x14ac:dyDescent="0.3">
      <c r="B79" s="114" t="s">
        <v>85</v>
      </c>
      <c r="C79" s="116">
        <v>5.2949999999999999</v>
      </c>
      <c r="D79" s="115">
        <v>4.38</v>
      </c>
      <c r="E79" s="117">
        <f>(D79-C79)/C79</f>
        <v>-0.17280453257790368</v>
      </c>
      <c r="F79" s="118">
        <v>322352.40793201118</v>
      </c>
      <c r="G79" s="141">
        <v>305936.07305936073</v>
      </c>
      <c r="H79" s="117">
        <v>-5.0926670527967309E-2</v>
      </c>
      <c r="I79" s="118">
        <v>1706855.9999999991</v>
      </c>
      <c r="J79" s="141">
        <v>1340000</v>
      </c>
      <c r="K79" s="117">
        <v>-0.21493084360953663</v>
      </c>
      <c r="L79" s="33"/>
      <c r="M79" s="110" t="s">
        <v>86</v>
      </c>
      <c r="N79" s="86">
        <f>315000/1000000</f>
        <v>0.315</v>
      </c>
      <c r="O79" s="147">
        <v>1.5000000000000002</v>
      </c>
      <c r="P79" s="147">
        <v>3.984063745020386E-3</v>
      </c>
      <c r="Q79" s="149">
        <v>1.5099601593625509</v>
      </c>
      <c r="R79" s="86">
        <f>125500/1000000</f>
        <v>0.1255</v>
      </c>
      <c r="S79" s="94"/>
    </row>
    <row r="80" spans="1:19" s="14" customFormat="1" x14ac:dyDescent="0.25">
      <c r="A80" s="51"/>
      <c r="B80" s="113" t="s">
        <v>86</v>
      </c>
      <c r="C80" s="97">
        <v>0.18</v>
      </c>
      <c r="D80" s="86">
        <v>0.45</v>
      </c>
      <c r="E80" s="37">
        <v>1.5000000000000002</v>
      </c>
      <c r="F80" s="35">
        <v>697222.2222222219</v>
      </c>
      <c r="G80" s="85">
        <v>700000</v>
      </c>
      <c r="H80" s="37">
        <v>3.984063745020386E-3</v>
      </c>
      <c r="I80" s="35">
        <v>125499.99999999994</v>
      </c>
      <c r="J80" s="85">
        <v>315000</v>
      </c>
      <c r="K80" s="37">
        <v>1.5099601593625509</v>
      </c>
      <c r="L80" s="33"/>
      <c r="M80" s="110" t="s">
        <v>87</v>
      </c>
      <c r="N80" s="86">
        <f>18785000/1000000</f>
        <v>18.785</v>
      </c>
      <c r="O80" s="147">
        <v>-4.2850206360767147E-2</v>
      </c>
      <c r="P80" s="147">
        <v>-1.3627041635316757E-2</v>
      </c>
      <c r="Q80" s="149">
        <v>-5.5893326449923696E-2</v>
      </c>
      <c r="R80" s="86">
        <f>19897116/1000000</f>
        <v>19.897116</v>
      </c>
      <c r="S80" s="96"/>
    </row>
    <row r="81" spans="1:19" s="14" customFormat="1" ht="15" x14ac:dyDescent="0.3">
      <c r="A81" s="51"/>
      <c r="B81" s="113" t="s">
        <v>87</v>
      </c>
      <c r="C81" s="97">
        <v>32.951999999999998</v>
      </c>
      <c r="D81" s="86">
        <v>31.54</v>
      </c>
      <c r="E81" s="37">
        <v>-4.2850206360767147E-2</v>
      </c>
      <c r="F81" s="35">
        <v>603821.19446467597</v>
      </c>
      <c r="G81" s="85">
        <v>595592.89790741913</v>
      </c>
      <c r="H81" s="37">
        <v>-1.3627041635316757E-2</v>
      </c>
      <c r="I81" s="35">
        <v>19897116</v>
      </c>
      <c r="J81" s="85">
        <v>18785000</v>
      </c>
      <c r="K81" s="37">
        <v>-5.5893326449923696E-2</v>
      </c>
      <c r="L81" s="33"/>
      <c r="M81" s="81" t="s">
        <v>93</v>
      </c>
      <c r="N81" s="108">
        <f>N79+N80</f>
        <v>19.100000000000001</v>
      </c>
      <c r="O81" s="147">
        <v>-3.4468187854642021E-2</v>
      </c>
      <c r="P81" s="147">
        <v>-1.2024985828425983E-2</v>
      </c>
      <c r="Q81" s="150">
        <f>(P81-O81)/O81</f>
        <v>-0.65112799433676893</v>
      </c>
      <c r="R81" s="108">
        <f>R79+R80</f>
        <v>20.022615999999999</v>
      </c>
      <c r="S81" s="96"/>
    </row>
    <row r="82" spans="1:19" s="14" customFormat="1" ht="15" x14ac:dyDescent="0.3">
      <c r="A82" s="51"/>
      <c r="B82" s="121" t="s">
        <v>93</v>
      </c>
      <c r="C82" s="139">
        <f>C80+C81</f>
        <v>33.131999999999998</v>
      </c>
      <c r="D82" s="122">
        <f>D80+D81</f>
        <v>31.99</v>
      </c>
      <c r="E82" s="123">
        <f>(D82-C82)/C82</f>
        <v>-3.4468187854642021E-2</v>
      </c>
      <c r="F82" s="124">
        <f>C101</f>
        <v>604328.62489436194</v>
      </c>
      <c r="G82" s="126">
        <f>E101</f>
        <v>597061.58174429508</v>
      </c>
      <c r="H82" s="140">
        <f>(G82-F82)/F82</f>
        <v>-1.2024985828425983E-2</v>
      </c>
      <c r="I82" s="124">
        <f>I80+I81</f>
        <v>20022616</v>
      </c>
      <c r="J82" s="126">
        <f>J80+J81</f>
        <v>19100000</v>
      </c>
      <c r="K82" s="123">
        <f>(J82-I82)/I82</f>
        <v>-4.6078694212584412E-2</v>
      </c>
      <c r="L82" s="33"/>
      <c r="M82" s="110" t="s">
        <v>88</v>
      </c>
      <c r="N82" s="86">
        <f>350000/1000000</f>
        <v>0.35</v>
      </c>
      <c r="O82" s="147">
        <v>-0.37445395771448536</v>
      </c>
      <c r="P82" s="147">
        <v>9.865937215131319E-3</v>
      </c>
      <c r="Q82" s="148">
        <v>-0.36828235973612267</v>
      </c>
      <c r="R82" s="109">
        <f>554045/1000000</f>
        <v>0.55404500000000001</v>
      </c>
      <c r="S82" s="96"/>
    </row>
    <row r="83" spans="1:19" s="14" customFormat="1" x14ac:dyDescent="0.25">
      <c r="A83" s="51"/>
      <c r="B83" s="113" t="s">
        <v>88</v>
      </c>
      <c r="C83" s="99">
        <v>5.7229999999999999</v>
      </c>
      <c r="D83" s="86">
        <v>3.58</v>
      </c>
      <c r="E83" s="98">
        <v>-0.37445395771448536</v>
      </c>
      <c r="F83" s="100">
        <v>96810.239384937988</v>
      </c>
      <c r="G83" s="85">
        <v>97765.363128491619</v>
      </c>
      <c r="H83" s="98">
        <v>9.865937215131319E-3</v>
      </c>
      <c r="I83" s="100">
        <v>554045.00000000012</v>
      </c>
      <c r="J83" s="85">
        <v>350000</v>
      </c>
      <c r="K83" s="98">
        <v>-0.36828235973612267</v>
      </c>
      <c r="L83" s="33"/>
      <c r="M83" s="110" t="s">
        <v>89</v>
      </c>
      <c r="N83" s="86">
        <f>6362000/1000000</f>
        <v>6.3620000000000001</v>
      </c>
      <c r="O83" s="147">
        <v>0.38179242264978747</v>
      </c>
      <c r="P83" s="147">
        <v>5.1407937828009731E-2</v>
      </c>
      <c r="Q83" s="149">
        <v>0.45282752160458256</v>
      </c>
      <c r="R83" s="86">
        <f>4379047.00000001/1000000</f>
        <v>4.3790470000000106</v>
      </c>
      <c r="S83" s="96"/>
    </row>
    <row r="84" spans="1:19" s="14" customFormat="1" ht="15" x14ac:dyDescent="0.3">
      <c r="A84" s="51"/>
      <c r="B84" s="113" t="s">
        <v>89</v>
      </c>
      <c r="C84" s="97">
        <v>43.762</v>
      </c>
      <c r="D84" s="86">
        <v>60.47</v>
      </c>
      <c r="E84" s="37">
        <v>0.38179242264978747</v>
      </c>
      <c r="F84" s="35">
        <v>100065.05644166199</v>
      </c>
      <c r="G84" s="85">
        <v>105209.19464197123</v>
      </c>
      <c r="H84" s="37">
        <v>5.1407937828009731E-2</v>
      </c>
      <c r="I84" s="35">
        <v>4379047.0000000121</v>
      </c>
      <c r="J84" s="85">
        <v>6362000</v>
      </c>
      <c r="K84" s="37">
        <v>0.45282752160458256</v>
      </c>
      <c r="L84" s="33"/>
      <c r="M84" s="81" t="s">
        <v>94</v>
      </c>
      <c r="N84" s="108">
        <f>N82+N83</f>
        <v>6.7119999999999997</v>
      </c>
      <c r="O84" s="147">
        <v>0.29433161564110333</v>
      </c>
      <c r="P84" s="147">
        <v>5.120440814930604E-2</v>
      </c>
      <c r="Q84" s="150">
        <f>(P84-O84)/O84</f>
        <v>-0.82603157313639475</v>
      </c>
      <c r="R84" s="108">
        <f>R82+R83</f>
        <v>4.9330920000000109</v>
      </c>
      <c r="S84" s="96"/>
    </row>
    <row r="85" spans="1:19" s="14" customFormat="1" ht="15" x14ac:dyDescent="0.3">
      <c r="A85" s="51"/>
      <c r="B85" s="121" t="s">
        <v>94</v>
      </c>
      <c r="C85" s="139">
        <f>C83+C84</f>
        <v>49.484999999999999</v>
      </c>
      <c r="D85" s="122">
        <f>D83+D84</f>
        <v>64.05</v>
      </c>
      <c r="E85" s="123">
        <f>(D85-C85)/C85</f>
        <v>0.29433161564110333</v>
      </c>
      <c r="F85" s="124">
        <f>C105</f>
        <v>99688.632919066629</v>
      </c>
      <c r="G85" s="126">
        <f>E105</f>
        <v>104793.13036690086</v>
      </c>
      <c r="H85" s="140">
        <f>(G85-F85)/F85</f>
        <v>5.120440814930604E-2</v>
      </c>
      <c r="I85" s="124">
        <f>I83+I84</f>
        <v>4933092.0000000121</v>
      </c>
      <c r="J85" s="126">
        <f>J83+J84</f>
        <v>6712000</v>
      </c>
      <c r="K85" s="123">
        <f>(J85-I85)/I85</f>
        <v>0.36060709996894108</v>
      </c>
      <c r="L85" s="33"/>
      <c r="M85" s="110" t="s">
        <v>90</v>
      </c>
      <c r="N85" s="86">
        <f>1479000/1000000</f>
        <v>1.4790000000000001</v>
      </c>
      <c r="O85" s="147">
        <v>-9.1668058106528547E-2</v>
      </c>
      <c r="P85" s="147">
        <v>5.6762315031152158E-2</v>
      </c>
      <c r="Q85" s="149">
        <v>-4.0109034267913207E-2</v>
      </c>
      <c r="R85" s="86">
        <f>1540800/1000000</f>
        <v>1.5407999999999999</v>
      </c>
      <c r="S85" s="96"/>
    </row>
    <row r="86" spans="1:19" s="14" customFormat="1" x14ac:dyDescent="0.25">
      <c r="A86" s="51"/>
      <c r="B86" s="113" t="s">
        <v>90</v>
      </c>
      <c r="C86" s="97">
        <v>5.9889999999999999</v>
      </c>
      <c r="D86" s="86">
        <v>5.44</v>
      </c>
      <c r="E86" s="37">
        <v>-9.1668058106528547E-2</v>
      </c>
      <c r="F86" s="35">
        <v>257271.66471865098</v>
      </c>
      <c r="G86" s="85">
        <v>271875</v>
      </c>
      <c r="H86" s="37">
        <v>5.6762315031152158E-2</v>
      </c>
      <c r="I86" s="35">
        <v>1540800.0000000007</v>
      </c>
      <c r="J86" s="85">
        <v>1479000</v>
      </c>
      <c r="K86" s="37">
        <v>-4.0109034267913207E-2</v>
      </c>
      <c r="L86" s="33"/>
      <c r="M86" s="110" t="s">
        <v>91</v>
      </c>
      <c r="N86" s="86">
        <f>1690000/1000000</f>
        <v>1.69</v>
      </c>
      <c r="O86" s="147">
        <v>0.19713427316847695</v>
      </c>
      <c r="P86" s="147">
        <v>3.2795579562306899E-3</v>
      </c>
      <c r="Q86" s="149">
        <v>0.201060344398723</v>
      </c>
      <c r="R86" s="86">
        <f>1407090/1000000</f>
        <v>1.40709</v>
      </c>
      <c r="S86" s="96"/>
    </row>
    <row r="87" spans="1:19" ht="15" x14ac:dyDescent="0.3">
      <c r="B87" s="113" t="s">
        <v>91</v>
      </c>
      <c r="C87" s="97">
        <v>4.327</v>
      </c>
      <c r="D87" s="86">
        <v>5.18</v>
      </c>
      <c r="E87" s="37">
        <v>0.19713427316847695</v>
      </c>
      <c r="F87" s="35">
        <v>325188.35220707202</v>
      </c>
      <c r="G87" s="85">
        <v>326254.82625482627</v>
      </c>
      <c r="H87" s="37">
        <v>3.2795579562306899E-3</v>
      </c>
      <c r="I87" s="35">
        <v>1407090.0000000007</v>
      </c>
      <c r="J87" s="85">
        <v>1690000</v>
      </c>
      <c r="K87" s="37">
        <v>0.201060344398723</v>
      </c>
      <c r="L87" s="33"/>
      <c r="M87" s="111" t="s">
        <v>95</v>
      </c>
      <c r="N87" s="108">
        <f>N85+N86</f>
        <v>3.169</v>
      </c>
      <c r="O87" s="147">
        <v>2.9468786351299153E-2</v>
      </c>
      <c r="P87" s="147">
        <v>4.4233885593384169E-2</v>
      </c>
      <c r="Q87" s="150">
        <f>(P87-O87)/O87</f>
        <v>0.50104198612285522</v>
      </c>
      <c r="R87" s="108">
        <f>R85+R86</f>
        <v>2.9478900000000001</v>
      </c>
      <c r="S87" s="94"/>
    </row>
    <row r="88" spans="1:19" s="14" customFormat="1" ht="15.75" thickBot="1" x14ac:dyDescent="0.35">
      <c r="A88" s="51"/>
      <c r="B88" s="131" t="s">
        <v>95</v>
      </c>
      <c r="C88" s="135">
        <f>C86+C87</f>
        <v>10.315999999999999</v>
      </c>
      <c r="D88" s="128">
        <f>D86+D87</f>
        <v>10.620000000000001</v>
      </c>
      <c r="E88" s="105">
        <f>(D88-C88)/C88</f>
        <v>2.9468786351299153E-2</v>
      </c>
      <c r="F88" s="146">
        <f>C110</f>
        <v>285759.01512214052</v>
      </c>
      <c r="G88" s="127">
        <f>E110</f>
        <v>298399.24670433142</v>
      </c>
      <c r="H88" s="138">
        <f>(G88-F88)/F88</f>
        <v>4.4233885593384169E-2</v>
      </c>
      <c r="I88" s="106">
        <f>I86+I87</f>
        <v>2947890.0000000014</v>
      </c>
      <c r="J88" s="125">
        <f>J86+J87</f>
        <v>3169000</v>
      </c>
      <c r="K88" s="105">
        <f>(J88-I88)/I88</f>
        <v>7.5006190868722539E-2</v>
      </c>
      <c r="L88" s="15"/>
      <c r="M88" s="96"/>
      <c r="N88" s="108"/>
      <c r="O88" s="147"/>
      <c r="P88" s="147"/>
      <c r="Q88" s="150"/>
      <c r="R88" s="108"/>
      <c r="S88" s="96"/>
    </row>
    <row r="89" spans="1:19" s="14" customFormat="1" ht="15.75" thickBot="1" x14ac:dyDescent="0.35">
      <c r="A89" s="51"/>
      <c r="B89" s="132"/>
      <c r="C89" s="142">
        <v>154.74348000000001</v>
      </c>
      <c r="D89" s="143">
        <v>178.77499999999998</v>
      </c>
      <c r="E89" s="102">
        <v>0.15529907948302552</v>
      </c>
      <c r="F89" s="144">
        <v>235512.10041288985</v>
      </c>
      <c r="G89" s="145">
        <v>222178.71626345968</v>
      </c>
      <c r="H89" s="102">
        <v>-5.6614433509168526E-2</v>
      </c>
      <c r="I89" s="144">
        <v>36443962.000000015</v>
      </c>
      <c r="J89" s="145">
        <v>39720000</v>
      </c>
      <c r="K89" s="102">
        <v>8.9892476564430168E-2</v>
      </c>
      <c r="L89" s="33"/>
      <c r="M89" s="96" t="s">
        <v>36</v>
      </c>
      <c r="N89" s="96">
        <v>9.3990000000000009</v>
      </c>
      <c r="O89" s="147">
        <v>0.19852118393049131</v>
      </c>
      <c r="P89" s="147">
        <v>0.14760446105371117</v>
      </c>
      <c r="Q89" s="147">
        <v>-0.25648004846982847</v>
      </c>
      <c r="R89" s="96">
        <v>6.8335080000000001</v>
      </c>
      <c r="S89" s="96"/>
    </row>
    <row r="90" spans="1:19" ht="14.25" thickBot="1" x14ac:dyDescent="0.3">
      <c r="B90" s="84"/>
      <c r="C90" s="85"/>
      <c r="D90" s="85"/>
      <c r="E90" s="86"/>
      <c r="F90" s="85"/>
      <c r="G90" s="85"/>
      <c r="H90" s="120"/>
      <c r="I90" s="85"/>
      <c r="J90" s="85"/>
      <c r="K90" s="86"/>
      <c r="L90" s="33"/>
      <c r="M90" s="15" t="s">
        <v>85</v>
      </c>
      <c r="N90" s="14">
        <v>1.34</v>
      </c>
      <c r="O90" s="104">
        <v>-0.17280453257790368</v>
      </c>
      <c r="P90" s="104">
        <v>-5.0926670527967309E-2</v>
      </c>
      <c r="Q90" s="104">
        <v>-0.21493084360953663</v>
      </c>
      <c r="R90" s="14">
        <v>1.7068559999999999</v>
      </c>
    </row>
    <row r="91" spans="1:19" ht="15.75" thickBot="1" x14ac:dyDescent="0.35">
      <c r="B91" s="101" t="s">
        <v>12</v>
      </c>
      <c r="C91" s="40">
        <v>975604.82347999944</v>
      </c>
      <c r="D91" s="40">
        <v>979886.75499999954</v>
      </c>
      <c r="E91" s="42">
        <v>4.3890019985001463E-3</v>
      </c>
      <c r="F91" s="40">
        <v>523.11334347053116</v>
      </c>
      <c r="G91" s="40">
        <v>511.80980719340579</v>
      </c>
      <c r="H91" s="102">
        <v>-2.160819718750329E-2</v>
      </c>
      <c r="I91" s="40">
        <v>510351901.11659986</v>
      </c>
      <c r="J91" s="40">
        <v>501515651.1479218</v>
      </c>
      <c r="K91" s="42">
        <v>-1.7314033609643092E-2</v>
      </c>
      <c r="L91" s="33"/>
      <c r="M91" s="15" t="s">
        <v>35</v>
      </c>
      <c r="N91" s="14">
        <v>19.100000000000001</v>
      </c>
      <c r="O91" s="104">
        <v>-3.4468187854642021E-2</v>
      </c>
      <c r="P91" s="104">
        <v>-1.2024985828425983E-2</v>
      </c>
      <c r="Q91" s="104">
        <v>-0.65112799433676893</v>
      </c>
      <c r="R91" s="14">
        <v>20.022615999999999</v>
      </c>
    </row>
    <row r="92" spans="1:19" x14ac:dyDescent="0.25">
      <c r="K92" s="103"/>
      <c r="L92" s="33"/>
      <c r="M92" s="15" t="s">
        <v>37</v>
      </c>
      <c r="N92" s="14">
        <v>6.7119999999999997</v>
      </c>
      <c r="O92" s="104">
        <v>0.29433161564110333</v>
      </c>
      <c r="P92" s="104">
        <v>5.120440814930604E-2</v>
      </c>
      <c r="Q92" s="104">
        <v>-0.82603157313639475</v>
      </c>
      <c r="R92" s="14">
        <v>4.9330920000000109</v>
      </c>
    </row>
    <row r="93" spans="1:19" x14ac:dyDescent="0.25">
      <c r="B93" s="15">
        <v>2015</v>
      </c>
      <c r="D93" s="119">
        <v>2016</v>
      </c>
      <c r="L93" s="33"/>
      <c r="M93" s="15" t="s">
        <v>96</v>
      </c>
      <c r="N93" s="14">
        <v>3.169</v>
      </c>
      <c r="O93" s="104">
        <v>2.9468786351299153E-2</v>
      </c>
      <c r="P93" s="104">
        <v>4.4233885593384169E-2</v>
      </c>
      <c r="Q93" s="104">
        <v>0.50104198612285522</v>
      </c>
      <c r="R93" s="14">
        <v>2.9478900000000001</v>
      </c>
    </row>
    <row r="94" spans="1:19" ht="14.25" thickBot="1" x14ac:dyDescent="0.3">
      <c r="I94" s="15"/>
      <c r="L94" s="33"/>
    </row>
    <row r="95" spans="1:19" x14ac:dyDescent="0.25">
      <c r="B95" s="133">
        <v>7.8671200000000008</v>
      </c>
      <c r="C95" s="30">
        <v>137750.53640976615</v>
      </c>
      <c r="D95" s="134">
        <v>9.4350000000000005</v>
      </c>
      <c r="E95" s="136">
        <v>165765.76576576577</v>
      </c>
      <c r="F95" s="15"/>
      <c r="G95" s="15"/>
      <c r="H95" s="15"/>
      <c r="J95" s="15"/>
      <c r="K95" s="15"/>
    </row>
    <row r="96" spans="1:19" x14ac:dyDescent="0.25">
      <c r="B96" s="97">
        <v>48.648359999999997</v>
      </c>
      <c r="C96" s="35">
        <v>118191.19904555879</v>
      </c>
      <c r="D96" s="86">
        <v>58.3</v>
      </c>
      <c r="E96" s="85">
        <v>134391.08061749573</v>
      </c>
      <c r="F96" s="15"/>
      <c r="G96" s="15"/>
      <c r="H96" s="15"/>
      <c r="I96" s="15"/>
      <c r="J96" s="15"/>
      <c r="K96" s="15"/>
    </row>
    <row r="97" spans="1:11" ht="15" x14ac:dyDescent="0.3">
      <c r="B97" s="139">
        <f>B95+B96</f>
        <v>56.515479999999997</v>
      </c>
      <c r="C97" s="13">
        <f>(B95*C95+B96*C96)/B97</f>
        <v>120913.91597487981</v>
      </c>
      <c r="D97" s="122">
        <f>D95+D96</f>
        <v>67.734999999999999</v>
      </c>
      <c r="E97" s="13">
        <f>(D95*E95+D96*E96)/D97</f>
        <v>138761.34937624566</v>
      </c>
      <c r="H97" s="13"/>
      <c r="J97" s="15"/>
      <c r="K97" s="15"/>
    </row>
    <row r="98" spans="1:11" ht="15" x14ac:dyDescent="0.3">
      <c r="C98" s="15"/>
      <c r="D98" s="115"/>
      <c r="E98" s="15"/>
      <c r="H98" s="13"/>
      <c r="I98" s="14"/>
      <c r="J98" s="15"/>
      <c r="K98" s="15"/>
    </row>
    <row r="99" spans="1:11" x14ac:dyDescent="0.25">
      <c r="B99" s="97">
        <v>0.18</v>
      </c>
      <c r="C99" s="35">
        <v>697222.2222222219</v>
      </c>
      <c r="D99" s="86">
        <v>0.45</v>
      </c>
      <c r="E99" s="85">
        <v>700000</v>
      </c>
      <c r="H99" s="15"/>
      <c r="I99" s="14"/>
      <c r="J99" s="15"/>
      <c r="K99" s="15"/>
    </row>
    <row r="100" spans="1:11" x14ac:dyDescent="0.25">
      <c r="B100" s="97">
        <v>32.951999999999998</v>
      </c>
      <c r="C100" s="35">
        <v>603821.19446467597</v>
      </c>
      <c r="D100" s="86">
        <v>31.54</v>
      </c>
      <c r="E100" s="85">
        <v>595592.89790741913</v>
      </c>
      <c r="H100" s="104"/>
      <c r="I100" s="14"/>
      <c r="J100" s="15"/>
      <c r="K100" s="15"/>
    </row>
    <row r="101" spans="1:11" ht="15" x14ac:dyDescent="0.3">
      <c r="B101" s="139">
        <f>B99+B100</f>
        <v>33.131999999999998</v>
      </c>
      <c r="C101" s="13">
        <f>(B99*C99+B100*C100)/B101</f>
        <v>604328.62489436194</v>
      </c>
      <c r="D101" s="122">
        <f>D99+D100</f>
        <v>31.99</v>
      </c>
      <c r="E101" s="13">
        <f>(D99*E99+D100*E100)/D101</f>
        <v>597061.58174429508</v>
      </c>
      <c r="F101" s="15"/>
      <c r="G101" s="15"/>
      <c r="H101" s="15"/>
      <c r="I101" s="14"/>
      <c r="J101" s="15"/>
      <c r="K101" s="15"/>
    </row>
    <row r="102" spans="1:11" x14ac:dyDescent="0.25">
      <c r="C102" s="15"/>
      <c r="D102" s="15"/>
      <c r="E102" s="15"/>
      <c r="F102" s="15"/>
      <c r="G102" s="15"/>
      <c r="H102" s="15"/>
      <c r="I102" s="14"/>
      <c r="J102" s="15"/>
      <c r="K102" s="15"/>
    </row>
    <row r="103" spans="1:11" x14ac:dyDescent="0.25">
      <c r="B103" s="99">
        <v>5.7229999999999999</v>
      </c>
      <c r="C103" s="100">
        <v>96810.239384937988</v>
      </c>
      <c r="D103" s="86">
        <v>3.58</v>
      </c>
      <c r="E103" s="85">
        <v>97765.363128491619</v>
      </c>
      <c r="F103" s="15"/>
      <c r="G103" s="15"/>
      <c r="H103" s="15"/>
      <c r="I103" s="14"/>
      <c r="J103" s="15"/>
      <c r="K103" s="15"/>
    </row>
    <row r="104" spans="1:11" x14ac:dyDescent="0.25">
      <c r="B104" s="97">
        <v>43.762</v>
      </c>
      <c r="C104" s="35">
        <v>100065.05644166199</v>
      </c>
      <c r="D104" s="86">
        <v>60.47</v>
      </c>
      <c r="E104" s="85">
        <v>105209.19464197123</v>
      </c>
      <c r="F104" s="15"/>
      <c r="G104" s="15"/>
      <c r="H104" s="15"/>
      <c r="I104" s="14"/>
      <c r="J104" s="15"/>
      <c r="K104" s="15"/>
    </row>
    <row r="105" spans="1:11" ht="15" x14ac:dyDescent="0.3">
      <c r="A105" s="15"/>
      <c r="B105" s="139">
        <f>B103+B104</f>
        <v>49.484999999999999</v>
      </c>
      <c r="C105" s="13">
        <f>(B103*C103+B104*C104)/B105</f>
        <v>99688.632919066629</v>
      </c>
      <c r="D105" s="122">
        <f>D103+D104</f>
        <v>64.05</v>
      </c>
      <c r="E105" s="13">
        <f>(D103*E103+D104*E104)/D105</f>
        <v>104793.13036690086</v>
      </c>
      <c r="F105" s="15"/>
      <c r="G105" s="15"/>
      <c r="H105" s="15"/>
      <c r="I105" s="14"/>
      <c r="J105" s="15"/>
      <c r="K105" s="15"/>
    </row>
    <row r="106" spans="1:11" x14ac:dyDescent="0.25">
      <c r="B106" s="13"/>
      <c r="C106" s="14"/>
      <c r="D106" s="15"/>
      <c r="E106" s="15"/>
    </row>
    <row r="107" spans="1:11" x14ac:dyDescent="0.25">
      <c r="C107" s="15"/>
      <c r="D107" s="15"/>
      <c r="E107" s="15"/>
    </row>
    <row r="108" spans="1:11" x14ac:dyDescent="0.25">
      <c r="B108" s="86">
        <v>5.9889999999999999</v>
      </c>
      <c r="C108" s="85">
        <v>257271.66471865098</v>
      </c>
      <c r="D108" s="86">
        <v>5.44</v>
      </c>
      <c r="E108" s="85">
        <v>271875</v>
      </c>
    </row>
    <row r="109" spans="1:11" x14ac:dyDescent="0.25">
      <c r="B109" s="86">
        <v>4.327</v>
      </c>
      <c r="C109" s="85">
        <v>325188.35220707202</v>
      </c>
      <c r="D109" s="86">
        <v>5.18</v>
      </c>
      <c r="E109" s="85">
        <v>326254.82625482627</v>
      </c>
    </row>
    <row r="110" spans="1:11" ht="15" x14ac:dyDescent="0.3">
      <c r="B110" s="128">
        <f>B108+B109</f>
        <v>10.315999999999999</v>
      </c>
      <c r="C110" s="13">
        <f>(B108*C108+B109*C109)/B110</f>
        <v>285759.01512214052</v>
      </c>
      <c r="D110" s="128">
        <f>D108+D109</f>
        <v>10.620000000000001</v>
      </c>
      <c r="E110" s="13">
        <f>(D108*E108+D109*E109)/D110</f>
        <v>298399.24670433142</v>
      </c>
    </row>
    <row r="111" spans="1:11" x14ac:dyDescent="0.25">
      <c r="B111" s="13"/>
      <c r="C111" s="14"/>
      <c r="D111" s="15"/>
      <c r="E111" s="15"/>
    </row>
    <row r="112" spans="1:11" x14ac:dyDescent="0.25">
      <c r="C112" s="14"/>
      <c r="D112" s="15"/>
      <c r="E112" s="15"/>
    </row>
    <row r="113" spans="4:5" x14ac:dyDescent="0.25">
      <c r="D113" s="15"/>
      <c r="E113" s="15"/>
    </row>
    <row r="114" spans="4:5" x14ac:dyDescent="0.25">
      <c r="D114" s="15"/>
      <c r="E114" s="15"/>
    </row>
    <row r="115" spans="4:5" x14ac:dyDescent="0.25">
      <c r="D115" s="15"/>
      <c r="E115" s="15"/>
    </row>
  </sheetData>
  <mergeCells count="17">
    <mergeCell ref="B72:B73"/>
    <mergeCell ref="C72:E72"/>
    <mergeCell ref="F72:H72"/>
    <mergeCell ref="I72:K72"/>
    <mergeCell ref="B34:B35"/>
    <mergeCell ref="C34:E34"/>
    <mergeCell ref="F34:H34"/>
    <mergeCell ref="I34:K34"/>
    <mergeCell ref="I19:K19"/>
    <mergeCell ref="B19:B20"/>
    <mergeCell ref="C19:E19"/>
    <mergeCell ref="F19:H19"/>
    <mergeCell ref="B3:K4"/>
    <mergeCell ref="B5:B6"/>
    <mergeCell ref="C5:E5"/>
    <mergeCell ref="F5:H5"/>
    <mergeCell ref="I5:K5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38"/>
  <sheetViews>
    <sheetView topLeftCell="B1" zoomScaleNormal="100" workbookViewId="0">
      <selection sqref="A1:IV65536"/>
    </sheetView>
  </sheetViews>
  <sheetFormatPr baseColWidth="10" defaultColWidth="11" defaultRowHeight="11.25" x14ac:dyDescent="0.2"/>
  <cols>
    <col min="1" max="1" width="10.25" style="236" bestFit="1" customWidth="1"/>
    <col min="2" max="2" width="28" style="236" customWidth="1"/>
    <col min="3" max="14" width="6.625" style="236" customWidth="1"/>
    <col min="15" max="15" width="9.125" style="236" customWidth="1"/>
    <col min="16" max="16384" width="11" style="236"/>
  </cols>
  <sheetData>
    <row r="2" spans="1:15" ht="12" thickBot="1" x14ac:dyDescent="0.25"/>
    <row r="3" spans="1:15" ht="15.75" x14ac:dyDescent="0.25">
      <c r="A3" s="237"/>
      <c r="B3" s="238" t="s">
        <v>339</v>
      </c>
      <c r="C3" s="768" t="s">
        <v>340</v>
      </c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70"/>
    </row>
    <row r="4" spans="1:15" x14ac:dyDescent="0.2">
      <c r="A4" s="237"/>
      <c r="B4" s="239"/>
      <c r="C4" s="771" t="s">
        <v>341</v>
      </c>
      <c r="D4" s="771" t="s">
        <v>342</v>
      </c>
      <c r="E4" s="771" t="s">
        <v>343</v>
      </c>
      <c r="F4" s="771" t="s">
        <v>344</v>
      </c>
      <c r="G4" s="771" t="s">
        <v>345</v>
      </c>
      <c r="H4" s="771" t="s">
        <v>346</v>
      </c>
      <c r="I4" s="771" t="s">
        <v>347</v>
      </c>
      <c r="J4" s="771" t="s">
        <v>348</v>
      </c>
      <c r="K4" s="771" t="s">
        <v>349</v>
      </c>
      <c r="L4" s="771" t="s">
        <v>350</v>
      </c>
      <c r="M4" s="771" t="s">
        <v>351</v>
      </c>
      <c r="N4" s="771" t="s">
        <v>352</v>
      </c>
    </row>
    <row r="5" spans="1:15" ht="12.75" thickBot="1" x14ac:dyDescent="0.25">
      <c r="A5" s="237"/>
      <c r="B5" s="240" t="s">
        <v>353</v>
      </c>
      <c r="C5" s="772"/>
      <c r="D5" s="772"/>
      <c r="E5" s="772"/>
      <c r="F5" s="772"/>
      <c r="G5" s="772"/>
      <c r="H5" s="772"/>
      <c r="I5" s="772"/>
      <c r="J5" s="772"/>
      <c r="K5" s="772"/>
      <c r="L5" s="772"/>
      <c r="M5" s="772"/>
      <c r="N5" s="772"/>
    </row>
    <row r="6" spans="1:15" x14ac:dyDescent="0.2">
      <c r="B6" s="241" t="s">
        <v>354</v>
      </c>
      <c r="C6" s="242">
        <v>109</v>
      </c>
      <c r="D6" s="242">
        <v>109</v>
      </c>
      <c r="E6" s="242">
        <v>108</v>
      </c>
      <c r="F6" s="242">
        <v>108</v>
      </c>
      <c r="G6" s="242">
        <v>106</v>
      </c>
      <c r="H6" s="242">
        <v>106</v>
      </c>
      <c r="I6" s="242">
        <v>105</v>
      </c>
      <c r="J6" s="242">
        <v>105</v>
      </c>
      <c r="K6" s="242">
        <v>104</v>
      </c>
      <c r="L6" s="242">
        <v>102</v>
      </c>
      <c r="M6" s="242">
        <v>102</v>
      </c>
      <c r="N6" s="243">
        <v>81</v>
      </c>
    </row>
    <row r="7" spans="1:15" x14ac:dyDescent="0.2">
      <c r="A7" s="237"/>
      <c r="B7" s="244" t="s">
        <v>355</v>
      </c>
      <c r="C7" s="245">
        <v>0</v>
      </c>
      <c r="D7" s="245">
        <v>0</v>
      </c>
      <c r="E7" s="245">
        <v>0</v>
      </c>
      <c r="F7" s="245">
        <v>0</v>
      </c>
      <c r="G7" s="245">
        <v>0</v>
      </c>
      <c r="H7" s="245">
        <v>0</v>
      </c>
      <c r="I7" s="245">
        <v>0</v>
      </c>
      <c r="J7" s="245">
        <v>0</v>
      </c>
      <c r="K7" s="245">
        <v>0</v>
      </c>
      <c r="L7" s="245">
        <v>0</v>
      </c>
      <c r="M7" s="245">
        <v>0</v>
      </c>
      <c r="N7" s="246">
        <v>15</v>
      </c>
    </row>
    <row r="8" spans="1:15" ht="12" thickBot="1" x14ac:dyDescent="0.25">
      <c r="A8" s="237"/>
      <c r="B8" s="244" t="s">
        <v>356</v>
      </c>
      <c r="C8" s="247">
        <v>5</v>
      </c>
      <c r="D8" s="247">
        <v>7</v>
      </c>
      <c r="E8" s="247">
        <v>7</v>
      </c>
      <c r="F8" s="247">
        <v>7</v>
      </c>
      <c r="G8" s="247">
        <v>7</v>
      </c>
      <c r="H8" s="247">
        <v>7</v>
      </c>
      <c r="I8" s="247">
        <v>7</v>
      </c>
      <c r="J8" s="247">
        <v>7</v>
      </c>
      <c r="K8" s="247">
        <v>6</v>
      </c>
      <c r="L8" s="247">
        <v>5</v>
      </c>
      <c r="M8" s="247">
        <v>5</v>
      </c>
      <c r="N8" s="248">
        <v>3</v>
      </c>
    </row>
    <row r="9" spans="1:15" ht="12" thickBot="1" x14ac:dyDescent="0.25">
      <c r="A9" s="237"/>
      <c r="B9" s="249" t="s">
        <v>357</v>
      </c>
      <c r="C9" s="250">
        <v>114</v>
      </c>
      <c r="D9" s="250">
        <v>116</v>
      </c>
      <c r="E9" s="250">
        <v>115</v>
      </c>
      <c r="F9" s="250">
        <v>115</v>
      </c>
      <c r="G9" s="250">
        <v>113</v>
      </c>
      <c r="H9" s="250">
        <v>113</v>
      </c>
      <c r="I9" s="250">
        <v>112</v>
      </c>
      <c r="J9" s="250">
        <v>112</v>
      </c>
      <c r="K9" s="250">
        <v>110</v>
      </c>
      <c r="L9" s="250">
        <v>107</v>
      </c>
      <c r="M9" s="250">
        <v>107</v>
      </c>
      <c r="N9" s="251">
        <v>86.25</v>
      </c>
      <c r="O9" s="252">
        <v>110.02083333333333</v>
      </c>
    </row>
    <row r="10" spans="1:15" x14ac:dyDescent="0.2">
      <c r="B10" s="253" t="s">
        <v>358</v>
      </c>
      <c r="C10" s="242">
        <v>27</v>
      </c>
      <c r="D10" s="242">
        <v>27</v>
      </c>
      <c r="E10" s="242">
        <v>27</v>
      </c>
      <c r="F10" s="242">
        <v>27</v>
      </c>
      <c r="G10" s="242">
        <v>27</v>
      </c>
      <c r="H10" s="242">
        <v>27</v>
      </c>
      <c r="I10" s="242">
        <v>27</v>
      </c>
      <c r="J10" s="242">
        <v>27</v>
      </c>
      <c r="K10" s="242">
        <v>27</v>
      </c>
      <c r="L10" s="242">
        <v>27</v>
      </c>
      <c r="M10" s="242">
        <v>27</v>
      </c>
      <c r="N10" s="243">
        <v>27</v>
      </c>
    </row>
    <row r="11" spans="1:15" x14ac:dyDescent="0.2">
      <c r="B11" s="253" t="s">
        <v>359</v>
      </c>
      <c r="C11" s="245">
        <v>1</v>
      </c>
      <c r="D11" s="245">
        <v>1</v>
      </c>
      <c r="E11" s="245">
        <v>1</v>
      </c>
      <c r="F11" s="245">
        <v>1</v>
      </c>
      <c r="G11" s="245">
        <v>1</v>
      </c>
      <c r="H11" s="245">
        <v>1</v>
      </c>
      <c r="I11" s="245">
        <v>0</v>
      </c>
      <c r="J11" s="245">
        <v>0</v>
      </c>
      <c r="K11" s="245">
        <v>0</v>
      </c>
      <c r="L11" s="245">
        <v>0</v>
      </c>
      <c r="M11" s="245">
        <v>0</v>
      </c>
      <c r="N11" s="246">
        <v>0</v>
      </c>
    </row>
    <row r="12" spans="1:15" ht="12" thickBot="1" x14ac:dyDescent="0.25">
      <c r="B12" s="253" t="s">
        <v>360</v>
      </c>
      <c r="C12" s="247">
        <v>1</v>
      </c>
      <c r="D12" s="247">
        <v>1</v>
      </c>
      <c r="E12" s="247">
        <v>1</v>
      </c>
      <c r="F12" s="247">
        <v>1</v>
      </c>
      <c r="G12" s="247">
        <v>1</v>
      </c>
      <c r="H12" s="247">
        <v>3</v>
      </c>
      <c r="I12" s="247">
        <v>4</v>
      </c>
      <c r="J12" s="247">
        <v>4</v>
      </c>
      <c r="K12" s="247">
        <v>2</v>
      </c>
      <c r="L12" s="247">
        <v>1</v>
      </c>
      <c r="M12" s="247">
        <v>2</v>
      </c>
      <c r="N12" s="248">
        <v>2</v>
      </c>
    </row>
    <row r="13" spans="1:15" ht="12" thickBot="1" x14ac:dyDescent="0.25">
      <c r="B13" s="249" t="s">
        <v>361</v>
      </c>
      <c r="C13" s="250">
        <v>28.15</v>
      </c>
      <c r="D13" s="254">
        <v>28.15</v>
      </c>
      <c r="E13" s="254">
        <v>28.15</v>
      </c>
      <c r="F13" s="254">
        <v>28.15</v>
      </c>
      <c r="G13" s="254">
        <v>28.15</v>
      </c>
      <c r="H13" s="254">
        <v>30.15</v>
      </c>
      <c r="I13" s="254">
        <v>31</v>
      </c>
      <c r="J13" s="254">
        <v>31</v>
      </c>
      <c r="K13" s="254">
        <v>29</v>
      </c>
      <c r="L13" s="254">
        <v>28</v>
      </c>
      <c r="M13" s="254">
        <v>29</v>
      </c>
      <c r="N13" s="255">
        <v>29</v>
      </c>
      <c r="O13" s="252">
        <v>28.991666666666664</v>
      </c>
    </row>
    <row r="14" spans="1:15" x14ac:dyDescent="0.2">
      <c r="B14" s="253" t="s">
        <v>362</v>
      </c>
      <c r="C14" s="242">
        <v>33</v>
      </c>
      <c r="D14" s="242">
        <v>33</v>
      </c>
      <c r="E14" s="242">
        <v>33</v>
      </c>
      <c r="F14" s="242">
        <v>33</v>
      </c>
      <c r="G14" s="242">
        <v>33</v>
      </c>
      <c r="H14" s="242">
        <v>33</v>
      </c>
      <c r="I14" s="242">
        <v>33</v>
      </c>
      <c r="J14" s="242">
        <v>33</v>
      </c>
      <c r="K14" s="242">
        <v>33</v>
      </c>
      <c r="L14" s="242">
        <v>32</v>
      </c>
      <c r="M14" s="242">
        <v>32</v>
      </c>
      <c r="N14" s="243">
        <v>10</v>
      </c>
    </row>
    <row r="15" spans="1:15" x14ac:dyDescent="0.2">
      <c r="B15" s="253" t="s">
        <v>363</v>
      </c>
      <c r="C15" s="245">
        <v>0</v>
      </c>
      <c r="D15" s="245">
        <v>0</v>
      </c>
      <c r="E15" s="245">
        <v>0</v>
      </c>
      <c r="F15" s="245">
        <v>0</v>
      </c>
      <c r="G15" s="245">
        <v>0</v>
      </c>
      <c r="H15" s="245">
        <v>0</v>
      </c>
      <c r="I15" s="245">
        <v>0</v>
      </c>
      <c r="J15" s="245">
        <v>0</v>
      </c>
      <c r="K15" s="245">
        <v>0</v>
      </c>
      <c r="L15" s="245">
        <v>0</v>
      </c>
      <c r="M15" s="245">
        <v>0</v>
      </c>
      <c r="N15" s="246">
        <v>0</v>
      </c>
    </row>
    <row r="16" spans="1:15" ht="12" thickBot="1" x14ac:dyDescent="0.25">
      <c r="B16" s="253" t="s">
        <v>364</v>
      </c>
      <c r="C16" s="247">
        <v>3</v>
      </c>
      <c r="D16" s="247">
        <v>3</v>
      </c>
      <c r="E16" s="247">
        <v>3</v>
      </c>
      <c r="F16" s="247">
        <v>3</v>
      </c>
      <c r="G16" s="247">
        <v>4</v>
      </c>
      <c r="H16" s="247">
        <v>4</v>
      </c>
      <c r="I16" s="247">
        <v>5</v>
      </c>
      <c r="J16" s="247">
        <v>5</v>
      </c>
      <c r="K16" s="247">
        <v>4</v>
      </c>
      <c r="L16" s="247">
        <v>3</v>
      </c>
      <c r="M16" s="247">
        <v>3</v>
      </c>
      <c r="N16" s="248">
        <v>0</v>
      </c>
    </row>
    <row r="17" spans="2:15" ht="12" thickBot="1" x14ac:dyDescent="0.25">
      <c r="B17" s="249" t="s">
        <v>365</v>
      </c>
      <c r="C17" s="250">
        <v>36</v>
      </c>
      <c r="D17" s="250">
        <v>36</v>
      </c>
      <c r="E17" s="250">
        <v>36</v>
      </c>
      <c r="F17" s="250">
        <v>36</v>
      </c>
      <c r="G17" s="250">
        <v>37</v>
      </c>
      <c r="H17" s="250">
        <v>37</v>
      </c>
      <c r="I17" s="250">
        <v>38</v>
      </c>
      <c r="J17" s="250">
        <v>38</v>
      </c>
      <c r="K17" s="250">
        <v>37</v>
      </c>
      <c r="L17" s="250">
        <v>35</v>
      </c>
      <c r="M17" s="250">
        <v>35</v>
      </c>
      <c r="N17" s="256">
        <v>10</v>
      </c>
      <c r="O17" s="252">
        <v>34.25</v>
      </c>
    </row>
    <row r="18" spans="2:15" x14ac:dyDescent="0.2">
      <c r="B18" s="253" t="s">
        <v>366</v>
      </c>
      <c r="C18" s="242">
        <v>156</v>
      </c>
      <c r="D18" s="242">
        <v>155</v>
      </c>
      <c r="E18" s="242">
        <v>156</v>
      </c>
      <c r="F18" s="242">
        <v>157</v>
      </c>
      <c r="G18" s="242">
        <v>157</v>
      </c>
      <c r="H18" s="242">
        <v>157</v>
      </c>
      <c r="I18" s="242">
        <v>157</v>
      </c>
      <c r="J18" s="242">
        <v>156</v>
      </c>
      <c r="K18" s="242">
        <v>157</v>
      </c>
      <c r="L18" s="242">
        <v>159</v>
      </c>
      <c r="M18" s="242">
        <v>159</v>
      </c>
      <c r="N18" s="243">
        <v>159</v>
      </c>
    </row>
    <row r="19" spans="2:15" x14ac:dyDescent="0.2">
      <c r="B19" s="253" t="s">
        <v>367</v>
      </c>
      <c r="C19" s="245">
        <v>16</v>
      </c>
      <c r="D19" s="245">
        <v>17</v>
      </c>
      <c r="E19" s="245">
        <v>17</v>
      </c>
      <c r="F19" s="245">
        <v>15</v>
      </c>
      <c r="G19" s="245">
        <v>15</v>
      </c>
      <c r="H19" s="245">
        <v>14</v>
      </c>
      <c r="I19" s="245">
        <v>14</v>
      </c>
      <c r="J19" s="245">
        <v>12</v>
      </c>
      <c r="K19" s="245">
        <v>9</v>
      </c>
      <c r="L19" s="245">
        <v>8</v>
      </c>
      <c r="M19" s="245">
        <v>8</v>
      </c>
      <c r="N19" s="246">
        <v>7</v>
      </c>
    </row>
    <row r="20" spans="2:15" ht="12" thickBot="1" x14ac:dyDescent="0.25">
      <c r="B20" s="253" t="s">
        <v>368</v>
      </c>
      <c r="C20" s="247">
        <v>3</v>
      </c>
      <c r="D20" s="247">
        <v>4</v>
      </c>
      <c r="E20" s="247">
        <v>4</v>
      </c>
      <c r="F20" s="247">
        <v>5</v>
      </c>
      <c r="G20" s="247">
        <v>5</v>
      </c>
      <c r="H20" s="247">
        <v>5</v>
      </c>
      <c r="I20" s="247">
        <v>6</v>
      </c>
      <c r="J20" s="247">
        <v>7</v>
      </c>
      <c r="K20" s="247">
        <v>10</v>
      </c>
      <c r="L20" s="247">
        <v>9</v>
      </c>
      <c r="M20" s="247">
        <v>10</v>
      </c>
      <c r="N20" s="248">
        <v>11</v>
      </c>
    </row>
    <row r="21" spans="2:15" ht="12" thickBot="1" x14ac:dyDescent="0.25">
      <c r="B21" s="257" t="s">
        <v>369</v>
      </c>
      <c r="C21" s="251">
        <v>161.4</v>
      </c>
      <c r="D21" s="255">
        <v>161.55000000000001</v>
      </c>
      <c r="E21" s="255">
        <v>162.55000000000001</v>
      </c>
      <c r="F21" s="255">
        <v>164.25</v>
      </c>
      <c r="G21" s="255">
        <v>164.25</v>
      </c>
      <c r="H21" s="255">
        <v>164.1</v>
      </c>
      <c r="I21" s="255">
        <v>165.1</v>
      </c>
      <c r="J21" s="255">
        <v>164.8</v>
      </c>
      <c r="K21" s="255">
        <v>168.35</v>
      </c>
      <c r="L21" s="255">
        <v>169.2</v>
      </c>
      <c r="M21" s="255">
        <v>170.2</v>
      </c>
      <c r="N21" s="255">
        <v>171.05</v>
      </c>
      <c r="O21" s="252">
        <v>165.56666666666666</v>
      </c>
    </row>
    <row r="22" spans="2:15" x14ac:dyDescent="0.2">
      <c r="B22" s="253" t="s">
        <v>370</v>
      </c>
      <c r="C22" s="242">
        <v>128</v>
      </c>
      <c r="D22" s="242">
        <v>128</v>
      </c>
      <c r="E22" s="242">
        <v>128</v>
      </c>
      <c r="F22" s="242">
        <v>128</v>
      </c>
      <c r="G22" s="242">
        <v>128</v>
      </c>
      <c r="H22" s="242">
        <v>128</v>
      </c>
      <c r="I22" s="242">
        <v>129</v>
      </c>
      <c r="J22" s="242">
        <v>129</v>
      </c>
      <c r="K22" s="242">
        <v>129</v>
      </c>
      <c r="L22" s="242">
        <v>128</v>
      </c>
      <c r="M22" s="242">
        <v>128</v>
      </c>
      <c r="N22" s="243">
        <v>128</v>
      </c>
    </row>
    <row r="23" spans="2:15" x14ac:dyDescent="0.2">
      <c r="B23" s="253" t="s">
        <v>371</v>
      </c>
      <c r="C23" s="245">
        <v>6</v>
      </c>
      <c r="D23" s="245">
        <v>5</v>
      </c>
      <c r="E23" s="245">
        <v>4</v>
      </c>
      <c r="F23" s="245">
        <v>4</v>
      </c>
      <c r="G23" s="245">
        <v>4</v>
      </c>
      <c r="H23" s="245">
        <v>4</v>
      </c>
      <c r="I23" s="245">
        <v>4</v>
      </c>
      <c r="J23" s="245">
        <v>4</v>
      </c>
      <c r="K23" s="245">
        <v>4</v>
      </c>
      <c r="L23" s="245">
        <v>4</v>
      </c>
      <c r="M23" s="245">
        <v>3</v>
      </c>
      <c r="N23" s="246">
        <v>4</v>
      </c>
    </row>
    <row r="24" spans="2:15" ht="12" thickBot="1" x14ac:dyDescent="0.25">
      <c r="B24" s="253" t="s">
        <v>372</v>
      </c>
      <c r="C24" s="247">
        <v>6</v>
      </c>
      <c r="D24" s="247">
        <v>6</v>
      </c>
      <c r="E24" s="247">
        <v>6</v>
      </c>
      <c r="F24" s="247">
        <v>9</v>
      </c>
      <c r="G24" s="247">
        <v>8</v>
      </c>
      <c r="H24" s="247">
        <v>13</v>
      </c>
      <c r="I24" s="247">
        <v>11</v>
      </c>
      <c r="J24" s="247">
        <v>9</v>
      </c>
      <c r="K24" s="247">
        <v>10</v>
      </c>
      <c r="L24" s="247">
        <v>9</v>
      </c>
      <c r="M24" s="247">
        <v>9</v>
      </c>
      <c r="N24" s="248">
        <v>9</v>
      </c>
    </row>
    <row r="25" spans="2:15" ht="12" thickBot="1" x14ac:dyDescent="0.25">
      <c r="B25" s="257" t="s">
        <v>373</v>
      </c>
      <c r="C25" s="251">
        <v>134.9</v>
      </c>
      <c r="D25" s="251">
        <v>134.75</v>
      </c>
      <c r="E25" s="251">
        <v>134.6</v>
      </c>
      <c r="F25" s="251">
        <v>137.6</v>
      </c>
      <c r="G25" s="251">
        <v>136.6</v>
      </c>
      <c r="H25" s="251">
        <v>141.6</v>
      </c>
      <c r="I25" s="251">
        <v>140.6</v>
      </c>
      <c r="J25" s="251">
        <v>138.6</v>
      </c>
      <c r="K25" s="251">
        <v>139.6</v>
      </c>
      <c r="L25" s="251">
        <v>137.6</v>
      </c>
      <c r="M25" s="251">
        <v>137.44999999999999</v>
      </c>
      <c r="N25" s="251">
        <v>141</v>
      </c>
      <c r="O25" s="252">
        <v>137.90833333333333</v>
      </c>
    </row>
    <row r="26" spans="2:15" x14ac:dyDescent="0.2">
      <c r="B26" s="241" t="s">
        <v>374</v>
      </c>
      <c r="C26" s="242">
        <v>10</v>
      </c>
      <c r="D26" s="242">
        <v>10</v>
      </c>
      <c r="E26" s="242">
        <v>10</v>
      </c>
      <c r="F26" s="242">
        <v>10</v>
      </c>
      <c r="G26" s="242">
        <v>10</v>
      </c>
      <c r="H26" s="242">
        <v>10</v>
      </c>
      <c r="I26" s="242">
        <v>10</v>
      </c>
      <c r="J26" s="242">
        <v>10</v>
      </c>
      <c r="K26" s="242">
        <v>10</v>
      </c>
      <c r="L26" s="242">
        <v>10</v>
      </c>
      <c r="M26" s="242">
        <v>10</v>
      </c>
      <c r="N26" s="243">
        <v>10</v>
      </c>
    </row>
    <row r="27" spans="2:15" x14ac:dyDescent="0.2">
      <c r="B27" s="244" t="s">
        <v>375</v>
      </c>
      <c r="C27" s="245">
        <v>0</v>
      </c>
      <c r="D27" s="245">
        <v>0</v>
      </c>
      <c r="E27" s="245">
        <v>0</v>
      </c>
      <c r="F27" s="245">
        <v>0</v>
      </c>
      <c r="G27" s="245">
        <v>0</v>
      </c>
      <c r="H27" s="245">
        <v>0</v>
      </c>
      <c r="I27" s="245">
        <v>0</v>
      </c>
      <c r="J27" s="245">
        <v>0</v>
      </c>
      <c r="K27" s="245">
        <v>0</v>
      </c>
      <c r="L27" s="245">
        <v>0</v>
      </c>
      <c r="M27" s="245">
        <v>0</v>
      </c>
      <c r="N27" s="246">
        <v>0</v>
      </c>
    </row>
    <row r="28" spans="2:15" ht="12" thickBot="1" x14ac:dyDescent="0.25">
      <c r="B28" s="244" t="s">
        <v>376</v>
      </c>
      <c r="C28" s="247">
        <v>0</v>
      </c>
      <c r="D28" s="247">
        <v>0</v>
      </c>
      <c r="E28" s="247">
        <v>0</v>
      </c>
      <c r="F28" s="247">
        <v>0</v>
      </c>
      <c r="G28" s="247">
        <v>0</v>
      </c>
      <c r="H28" s="247">
        <v>0</v>
      </c>
      <c r="I28" s="247">
        <v>0</v>
      </c>
      <c r="J28" s="247">
        <v>0</v>
      </c>
      <c r="K28" s="247">
        <v>0</v>
      </c>
      <c r="L28" s="247">
        <v>0</v>
      </c>
      <c r="M28" s="247">
        <v>0</v>
      </c>
      <c r="N28" s="248">
        <v>0</v>
      </c>
    </row>
    <row r="29" spans="2:15" ht="12" thickBot="1" x14ac:dyDescent="0.25">
      <c r="B29" s="258" t="s">
        <v>377</v>
      </c>
      <c r="C29" s="251">
        <v>10</v>
      </c>
      <c r="D29" s="251">
        <v>10</v>
      </c>
      <c r="E29" s="251">
        <v>10</v>
      </c>
      <c r="F29" s="251">
        <v>10</v>
      </c>
      <c r="G29" s="251">
        <v>10</v>
      </c>
      <c r="H29" s="251">
        <v>10</v>
      </c>
      <c r="I29" s="251">
        <v>10</v>
      </c>
      <c r="J29" s="251">
        <v>10</v>
      </c>
      <c r="K29" s="251">
        <v>10</v>
      </c>
      <c r="L29" s="251">
        <v>10</v>
      </c>
      <c r="M29" s="251">
        <v>10</v>
      </c>
      <c r="N29" s="251">
        <v>10</v>
      </c>
      <c r="O29" s="252">
        <v>10</v>
      </c>
    </row>
    <row r="30" spans="2:15" x14ac:dyDescent="0.2">
      <c r="B30" s="259" t="s">
        <v>378</v>
      </c>
      <c r="C30" s="242">
        <v>9</v>
      </c>
      <c r="D30" s="242">
        <v>9</v>
      </c>
      <c r="E30" s="242">
        <v>9</v>
      </c>
      <c r="F30" s="242">
        <v>9</v>
      </c>
      <c r="G30" s="242">
        <v>9</v>
      </c>
      <c r="H30" s="242">
        <v>9</v>
      </c>
      <c r="I30" s="242">
        <v>9</v>
      </c>
      <c r="J30" s="242">
        <v>9</v>
      </c>
      <c r="K30" s="242">
        <v>9</v>
      </c>
      <c r="L30" s="242">
        <v>9</v>
      </c>
      <c r="M30" s="242">
        <v>9</v>
      </c>
      <c r="N30" s="243">
        <v>9</v>
      </c>
    </row>
    <row r="31" spans="2:15" x14ac:dyDescent="0.2">
      <c r="B31" s="259" t="s">
        <v>379</v>
      </c>
      <c r="C31" s="245">
        <v>0</v>
      </c>
      <c r="D31" s="245">
        <v>0</v>
      </c>
      <c r="E31" s="245">
        <v>0</v>
      </c>
      <c r="F31" s="245">
        <v>0</v>
      </c>
      <c r="G31" s="245">
        <v>0</v>
      </c>
      <c r="H31" s="245">
        <v>0</v>
      </c>
      <c r="I31" s="245">
        <v>0</v>
      </c>
      <c r="J31" s="245">
        <v>0</v>
      </c>
      <c r="K31" s="245">
        <v>0</v>
      </c>
      <c r="L31" s="245">
        <v>0</v>
      </c>
      <c r="M31" s="245">
        <v>0</v>
      </c>
      <c r="N31" s="246">
        <v>0</v>
      </c>
    </row>
    <row r="32" spans="2:15" ht="12" thickBot="1" x14ac:dyDescent="0.25">
      <c r="B32" s="259" t="s">
        <v>380</v>
      </c>
      <c r="C32" s="247">
        <v>0</v>
      </c>
      <c r="D32" s="247">
        <v>0</v>
      </c>
      <c r="E32" s="247">
        <v>0</v>
      </c>
      <c r="F32" s="247">
        <v>0</v>
      </c>
      <c r="G32" s="247">
        <v>0</v>
      </c>
      <c r="H32" s="247">
        <v>0</v>
      </c>
      <c r="I32" s="247">
        <v>0</v>
      </c>
      <c r="J32" s="247">
        <v>0</v>
      </c>
      <c r="K32" s="247">
        <v>0</v>
      </c>
      <c r="L32" s="247">
        <v>0</v>
      </c>
      <c r="M32" s="247">
        <v>0</v>
      </c>
      <c r="N32" s="248">
        <v>0</v>
      </c>
    </row>
    <row r="33" spans="1:28" s="260" customFormat="1" ht="12" thickBot="1" x14ac:dyDescent="0.25">
      <c r="A33" s="236"/>
      <c r="B33" s="249" t="s">
        <v>381</v>
      </c>
      <c r="C33" s="250">
        <v>9</v>
      </c>
      <c r="D33" s="250">
        <v>9</v>
      </c>
      <c r="E33" s="250">
        <v>9</v>
      </c>
      <c r="F33" s="250">
        <v>9</v>
      </c>
      <c r="G33" s="250">
        <v>9</v>
      </c>
      <c r="H33" s="250">
        <v>9</v>
      </c>
      <c r="I33" s="250">
        <v>9</v>
      </c>
      <c r="J33" s="250">
        <v>9</v>
      </c>
      <c r="K33" s="250">
        <v>9</v>
      </c>
      <c r="L33" s="250">
        <v>9</v>
      </c>
      <c r="M33" s="250">
        <v>9</v>
      </c>
      <c r="N33" s="251">
        <v>9</v>
      </c>
      <c r="O33" s="252">
        <v>9</v>
      </c>
    </row>
    <row r="34" spans="1:28" s="260" customFormat="1" x14ac:dyDescent="0.2">
      <c r="A34" s="236"/>
      <c r="B34" s="259" t="s">
        <v>382</v>
      </c>
      <c r="C34" s="245">
        <v>18</v>
      </c>
      <c r="D34" s="245">
        <v>18</v>
      </c>
      <c r="E34" s="245">
        <v>18</v>
      </c>
      <c r="F34" s="245">
        <v>18</v>
      </c>
      <c r="G34" s="245">
        <v>18</v>
      </c>
      <c r="H34" s="245">
        <v>18</v>
      </c>
      <c r="I34" s="245">
        <v>18</v>
      </c>
      <c r="J34" s="245">
        <v>18</v>
      </c>
      <c r="K34" s="245">
        <v>18</v>
      </c>
      <c r="L34" s="245">
        <v>18</v>
      </c>
      <c r="M34" s="245">
        <v>18</v>
      </c>
      <c r="N34" s="246">
        <v>16</v>
      </c>
    </row>
    <row r="35" spans="1:28" s="260" customFormat="1" x14ac:dyDescent="0.2">
      <c r="A35" s="236"/>
      <c r="B35" s="259" t="s">
        <v>383</v>
      </c>
      <c r="C35" s="245">
        <v>0</v>
      </c>
      <c r="D35" s="245">
        <v>0</v>
      </c>
      <c r="E35" s="245">
        <v>0</v>
      </c>
      <c r="F35" s="245">
        <v>0</v>
      </c>
      <c r="G35" s="245">
        <v>0</v>
      </c>
      <c r="H35" s="245">
        <v>0</v>
      </c>
      <c r="I35" s="245">
        <v>0</v>
      </c>
      <c r="J35" s="245">
        <v>0</v>
      </c>
      <c r="K35" s="245">
        <v>0</v>
      </c>
      <c r="L35" s="245">
        <v>0</v>
      </c>
      <c r="M35" s="245">
        <v>0</v>
      </c>
      <c r="N35" s="246">
        <v>0</v>
      </c>
    </row>
    <row r="36" spans="1:28" s="260" customFormat="1" ht="12" thickBot="1" x14ac:dyDescent="0.25">
      <c r="A36" s="236"/>
      <c r="B36" s="259" t="s">
        <v>384</v>
      </c>
      <c r="C36" s="261">
        <v>0</v>
      </c>
      <c r="D36" s="261">
        <v>0</v>
      </c>
      <c r="E36" s="261">
        <v>0</v>
      </c>
      <c r="F36" s="261">
        <v>0</v>
      </c>
      <c r="G36" s="261">
        <v>0</v>
      </c>
      <c r="H36" s="261">
        <v>0</v>
      </c>
      <c r="I36" s="261">
        <v>0</v>
      </c>
      <c r="J36" s="261">
        <v>0</v>
      </c>
      <c r="K36" s="261">
        <v>0</v>
      </c>
      <c r="L36" s="261">
        <v>0</v>
      </c>
      <c r="M36" s="261">
        <v>0</v>
      </c>
      <c r="N36" s="253">
        <v>0</v>
      </c>
    </row>
    <row r="37" spans="1:28" s="260" customFormat="1" ht="12" thickBot="1" x14ac:dyDescent="0.25">
      <c r="A37" s="236"/>
      <c r="B37" s="249" t="s">
        <v>385</v>
      </c>
      <c r="C37" s="262">
        <v>18</v>
      </c>
      <c r="D37" s="262">
        <v>18</v>
      </c>
      <c r="E37" s="262">
        <v>18</v>
      </c>
      <c r="F37" s="262">
        <v>18</v>
      </c>
      <c r="G37" s="262">
        <v>18</v>
      </c>
      <c r="H37" s="262">
        <v>18</v>
      </c>
      <c r="I37" s="262">
        <v>18</v>
      </c>
      <c r="J37" s="262">
        <v>18</v>
      </c>
      <c r="K37" s="262">
        <v>18</v>
      </c>
      <c r="L37" s="262">
        <v>18</v>
      </c>
      <c r="M37" s="262">
        <v>18</v>
      </c>
      <c r="N37" s="251">
        <v>16</v>
      </c>
      <c r="O37" s="252">
        <v>17.833333333333332</v>
      </c>
    </row>
    <row r="38" spans="1:28" s="260" customFormat="1" x14ac:dyDescent="0.2">
      <c r="A38" s="236"/>
      <c r="B38" s="244" t="s">
        <v>386</v>
      </c>
      <c r="C38" s="245">
        <v>490</v>
      </c>
      <c r="D38" s="245">
        <v>489</v>
      </c>
      <c r="E38" s="245">
        <v>489</v>
      </c>
      <c r="F38" s="245">
        <v>490</v>
      </c>
      <c r="G38" s="245">
        <v>488</v>
      </c>
      <c r="H38" s="245">
        <v>488</v>
      </c>
      <c r="I38" s="245">
        <v>488</v>
      </c>
      <c r="J38" s="245">
        <v>487</v>
      </c>
      <c r="K38" s="245">
        <v>487</v>
      </c>
      <c r="L38" s="245">
        <v>485</v>
      </c>
      <c r="M38" s="245">
        <v>485</v>
      </c>
      <c r="N38" s="246">
        <v>440</v>
      </c>
    </row>
    <row r="39" spans="1:28" x14ac:dyDescent="0.2">
      <c r="B39" s="244" t="s">
        <v>387</v>
      </c>
      <c r="C39" s="245">
        <v>23</v>
      </c>
      <c r="D39" s="245">
        <v>23</v>
      </c>
      <c r="E39" s="245">
        <v>22</v>
      </c>
      <c r="F39" s="245">
        <v>20</v>
      </c>
      <c r="G39" s="245">
        <v>20</v>
      </c>
      <c r="H39" s="245">
        <v>19</v>
      </c>
      <c r="I39" s="245">
        <v>18</v>
      </c>
      <c r="J39" s="245">
        <v>16</v>
      </c>
      <c r="K39" s="245">
        <v>13</v>
      </c>
      <c r="L39" s="245">
        <v>12</v>
      </c>
      <c r="M39" s="245">
        <v>11</v>
      </c>
      <c r="N39" s="246">
        <v>26</v>
      </c>
    </row>
    <row r="40" spans="1:28" ht="12" thickBot="1" x14ac:dyDescent="0.25">
      <c r="A40" s="263"/>
      <c r="B40" s="244" t="s">
        <v>388</v>
      </c>
      <c r="C40" s="261">
        <v>18</v>
      </c>
      <c r="D40" s="261">
        <v>21</v>
      </c>
      <c r="E40" s="261">
        <v>21</v>
      </c>
      <c r="F40" s="261">
        <v>25</v>
      </c>
      <c r="G40" s="261">
        <v>25</v>
      </c>
      <c r="H40" s="261">
        <v>32</v>
      </c>
      <c r="I40" s="261">
        <v>33</v>
      </c>
      <c r="J40" s="261">
        <v>32</v>
      </c>
      <c r="K40" s="261">
        <v>32</v>
      </c>
      <c r="L40" s="261">
        <v>27</v>
      </c>
      <c r="M40" s="261">
        <v>29</v>
      </c>
      <c r="N40" s="253">
        <v>25</v>
      </c>
    </row>
    <row r="41" spans="1:28" ht="12" thickBot="1" x14ac:dyDescent="0.25">
      <c r="B41" s="264" t="s">
        <v>389</v>
      </c>
      <c r="C41" s="262">
        <v>511.45</v>
      </c>
      <c r="D41" s="262">
        <v>513.45000000000005</v>
      </c>
      <c r="E41" s="262">
        <v>513.29999999999995</v>
      </c>
      <c r="F41" s="262">
        <v>518</v>
      </c>
      <c r="G41" s="262">
        <v>516</v>
      </c>
      <c r="H41" s="262">
        <v>522.85</v>
      </c>
      <c r="I41" s="262">
        <v>523.70000000000005</v>
      </c>
      <c r="J41" s="262">
        <v>521.4</v>
      </c>
      <c r="K41" s="262">
        <v>520.95000000000005</v>
      </c>
      <c r="L41" s="262">
        <v>513.79999999999995</v>
      </c>
      <c r="M41" s="262">
        <v>515.65</v>
      </c>
      <c r="N41" s="251">
        <v>468.9</v>
      </c>
      <c r="O41" s="252">
        <v>513.28749999999991</v>
      </c>
      <c r="P41" s="265" t="s">
        <v>390</v>
      </c>
      <c r="Q41" s="236">
        <v>490</v>
      </c>
      <c r="R41" s="236">
        <v>489</v>
      </c>
      <c r="S41" s="236">
        <v>489</v>
      </c>
      <c r="T41" s="236">
        <v>490</v>
      </c>
      <c r="U41" s="236">
        <v>488</v>
      </c>
      <c r="V41" s="236">
        <v>488</v>
      </c>
      <c r="W41" s="236">
        <v>488</v>
      </c>
      <c r="X41" s="236">
        <v>487</v>
      </c>
      <c r="Y41" s="236">
        <v>487</v>
      </c>
      <c r="Z41" s="236">
        <v>485</v>
      </c>
      <c r="AA41" s="236">
        <v>485</v>
      </c>
      <c r="AB41" s="236">
        <v>440</v>
      </c>
    </row>
    <row r="42" spans="1:28" x14ac:dyDescent="0.2">
      <c r="B42" s="266" t="s">
        <v>391</v>
      </c>
      <c r="C42" s="267">
        <v>490</v>
      </c>
      <c r="D42" s="268">
        <v>489.5</v>
      </c>
      <c r="E42" s="268">
        <v>489.33333333333331</v>
      </c>
      <c r="F42" s="268">
        <v>489.5</v>
      </c>
      <c r="G42" s="268">
        <v>489.2</v>
      </c>
      <c r="H42" s="268">
        <v>489</v>
      </c>
      <c r="I42" s="268">
        <v>488.85714285714283</v>
      </c>
      <c r="J42" s="268">
        <v>488.625</v>
      </c>
      <c r="K42" s="268">
        <v>488.44444444444446</v>
      </c>
      <c r="L42" s="268">
        <v>488.1</v>
      </c>
      <c r="M42" s="268">
        <v>487.81818181818181</v>
      </c>
      <c r="N42" s="268">
        <v>483.83333333333331</v>
      </c>
      <c r="O42" s="269"/>
      <c r="P42" s="265" t="s">
        <v>392</v>
      </c>
      <c r="Q42" s="236">
        <v>23</v>
      </c>
      <c r="R42" s="236">
        <v>23</v>
      </c>
      <c r="S42" s="236">
        <v>22</v>
      </c>
      <c r="T42" s="236">
        <v>20</v>
      </c>
      <c r="U42" s="236">
        <v>20</v>
      </c>
      <c r="V42" s="236">
        <v>19</v>
      </c>
      <c r="W42" s="236">
        <v>18</v>
      </c>
      <c r="X42" s="236">
        <v>16</v>
      </c>
      <c r="Y42" s="236">
        <v>13</v>
      </c>
      <c r="Z42" s="236">
        <v>12</v>
      </c>
      <c r="AA42" s="236">
        <v>11</v>
      </c>
      <c r="AB42" s="236">
        <v>26</v>
      </c>
    </row>
    <row r="43" spans="1:28" x14ac:dyDescent="0.2">
      <c r="B43" s="270" t="s">
        <v>393</v>
      </c>
      <c r="C43" s="271">
        <v>23</v>
      </c>
      <c r="D43" s="272">
        <v>23</v>
      </c>
      <c r="E43" s="272">
        <v>22.666666666666668</v>
      </c>
      <c r="F43" s="272">
        <v>22</v>
      </c>
      <c r="G43" s="272">
        <v>21.6</v>
      </c>
      <c r="H43" s="272">
        <v>21.166666666666668</v>
      </c>
      <c r="I43" s="272">
        <v>20.714285714285715</v>
      </c>
      <c r="J43" s="272">
        <v>20.125</v>
      </c>
      <c r="K43" s="272">
        <v>19.333333333333332</v>
      </c>
      <c r="L43" s="272">
        <v>18.600000000000001</v>
      </c>
      <c r="M43" s="272">
        <v>17.90909090909091</v>
      </c>
      <c r="N43" s="272">
        <v>18.583333333333332</v>
      </c>
      <c r="O43" s="269"/>
      <c r="P43" s="265" t="s">
        <v>394</v>
      </c>
      <c r="Q43" s="236">
        <v>18</v>
      </c>
      <c r="R43" s="236">
        <v>21</v>
      </c>
      <c r="S43" s="236">
        <v>21</v>
      </c>
      <c r="T43" s="236">
        <v>25</v>
      </c>
      <c r="U43" s="236">
        <v>25</v>
      </c>
      <c r="V43" s="236">
        <v>32</v>
      </c>
      <c r="W43" s="236">
        <v>33</v>
      </c>
      <c r="X43" s="236">
        <v>32</v>
      </c>
      <c r="Y43" s="236">
        <v>32</v>
      </c>
      <c r="Z43" s="236">
        <v>27</v>
      </c>
      <c r="AA43" s="236">
        <v>29</v>
      </c>
      <c r="AB43" s="236">
        <v>25</v>
      </c>
    </row>
    <row r="44" spans="1:28" ht="12" thickBot="1" x14ac:dyDescent="0.25">
      <c r="B44" s="270" t="s">
        <v>395</v>
      </c>
      <c r="C44" s="271">
        <v>18</v>
      </c>
      <c r="D44" s="272">
        <v>19.5</v>
      </c>
      <c r="E44" s="272">
        <v>20</v>
      </c>
      <c r="F44" s="272">
        <v>21.25</v>
      </c>
      <c r="G44" s="272">
        <v>22</v>
      </c>
      <c r="H44" s="273">
        <v>23.666666666666668</v>
      </c>
      <c r="I44" s="273">
        <v>25</v>
      </c>
      <c r="J44" s="273">
        <v>25.875</v>
      </c>
      <c r="K44" s="273">
        <v>26.555555555555557</v>
      </c>
      <c r="L44" s="273">
        <v>26.6</v>
      </c>
      <c r="M44" s="273">
        <v>26.818181818181817</v>
      </c>
      <c r="N44" s="272">
        <v>26.666666666666668</v>
      </c>
      <c r="P44" s="236" t="s">
        <v>396</v>
      </c>
      <c r="Q44" s="236">
        <v>490</v>
      </c>
      <c r="R44" s="236">
        <v>979</v>
      </c>
      <c r="S44" s="236">
        <v>1468</v>
      </c>
      <c r="T44" s="236">
        <v>1958</v>
      </c>
      <c r="U44" s="236">
        <v>2446</v>
      </c>
      <c r="V44" s="236">
        <v>2934</v>
      </c>
      <c r="W44" s="236">
        <v>3422</v>
      </c>
      <c r="X44" s="236">
        <v>3909</v>
      </c>
      <c r="Y44" s="236">
        <v>4396</v>
      </c>
      <c r="Z44" s="236">
        <v>4881</v>
      </c>
      <c r="AA44" s="236">
        <v>5366</v>
      </c>
      <c r="AB44" s="236">
        <v>5806</v>
      </c>
    </row>
    <row r="45" spans="1:28" ht="12" thickBot="1" x14ac:dyDescent="0.25">
      <c r="B45" s="274" t="s">
        <v>397</v>
      </c>
      <c r="C45" s="275">
        <v>511.45</v>
      </c>
      <c r="D45" s="275">
        <v>512.45000000000005</v>
      </c>
      <c r="E45" s="275">
        <v>512.73333333333335</v>
      </c>
      <c r="F45" s="275">
        <v>514.04999999999995</v>
      </c>
      <c r="G45" s="275">
        <v>514.43999999999994</v>
      </c>
      <c r="H45" s="275">
        <v>515.84166666666658</v>
      </c>
      <c r="I45" s="275">
        <v>516.96428571428578</v>
      </c>
      <c r="J45" s="275">
        <v>517.51874999999995</v>
      </c>
      <c r="K45" s="275">
        <v>517.9</v>
      </c>
      <c r="L45" s="275">
        <v>517.49</v>
      </c>
      <c r="M45" s="275">
        <v>517.32272727272721</v>
      </c>
      <c r="N45" s="275">
        <v>513.28750000000002</v>
      </c>
      <c r="P45" s="236" t="s">
        <v>398</v>
      </c>
      <c r="Q45" s="236">
        <v>23</v>
      </c>
      <c r="R45" s="236">
        <v>46</v>
      </c>
      <c r="S45" s="236">
        <v>68</v>
      </c>
      <c r="T45" s="236">
        <v>88</v>
      </c>
      <c r="U45" s="236">
        <v>108</v>
      </c>
      <c r="V45" s="236">
        <v>127</v>
      </c>
      <c r="W45" s="236">
        <v>145</v>
      </c>
      <c r="X45" s="236">
        <v>161</v>
      </c>
      <c r="Y45" s="236">
        <v>174</v>
      </c>
      <c r="Z45" s="236">
        <v>186</v>
      </c>
      <c r="AA45" s="236">
        <v>197</v>
      </c>
      <c r="AB45" s="236">
        <v>223</v>
      </c>
    </row>
    <row r="46" spans="1:28" x14ac:dyDescent="0.2">
      <c r="A46" s="263"/>
      <c r="B46" s="276"/>
      <c r="P46" s="236" t="s">
        <v>399</v>
      </c>
      <c r="Q46" s="236">
        <v>18</v>
      </c>
      <c r="R46" s="236">
        <v>39</v>
      </c>
      <c r="S46" s="236">
        <v>60</v>
      </c>
      <c r="T46" s="236">
        <v>85</v>
      </c>
      <c r="U46" s="236">
        <v>110</v>
      </c>
      <c r="V46" s="236">
        <v>142</v>
      </c>
      <c r="W46" s="236">
        <v>175</v>
      </c>
      <c r="X46" s="236">
        <v>207</v>
      </c>
      <c r="Y46" s="236">
        <v>239</v>
      </c>
      <c r="Z46" s="236">
        <v>266</v>
      </c>
      <c r="AA46" s="236">
        <v>295</v>
      </c>
      <c r="AB46" s="236">
        <v>320</v>
      </c>
    </row>
    <row r="49" spans="1:15" ht="12" thickBot="1" x14ac:dyDescent="0.25"/>
    <row r="50" spans="1:15" ht="15.75" x14ac:dyDescent="0.25">
      <c r="B50" s="277" t="s">
        <v>400</v>
      </c>
      <c r="C50" s="768" t="s">
        <v>340</v>
      </c>
      <c r="D50" s="769"/>
      <c r="E50" s="769"/>
      <c r="F50" s="769"/>
      <c r="G50" s="769"/>
      <c r="H50" s="769"/>
      <c r="I50" s="769"/>
      <c r="J50" s="769"/>
      <c r="K50" s="769"/>
      <c r="L50" s="769"/>
      <c r="M50" s="769"/>
      <c r="N50" s="770"/>
    </row>
    <row r="51" spans="1:15" x14ac:dyDescent="0.2">
      <c r="B51" s="278"/>
      <c r="C51" s="771" t="s">
        <v>341</v>
      </c>
      <c r="D51" s="771" t="s">
        <v>342</v>
      </c>
      <c r="E51" s="771" t="s">
        <v>343</v>
      </c>
      <c r="F51" s="771" t="s">
        <v>344</v>
      </c>
      <c r="G51" s="771" t="s">
        <v>345</v>
      </c>
      <c r="H51" s="771" t="s">
        <v>346</v>
      </c>
      <c r="I51" s="771" t="s">
        <v>347</v>
      </c>
      <c r="J51" s="771" t="s">
        <v>348</v>
      </c>
      <c r="K51" s="771" t="s">
        <v>349</v>
      </c>
      <c r="L51" s="771" t="s">
        <v>350</v>
      </c>
      <c r="M51" s="771" t="s">
        <v>351</v>
      </c>
      <c r="N51" s="771" t="s">
        <v>352</v>
      </c>
    </row>
    <row r="52" spans="1:15" ht="12.75" thickBot="1" x14ac:dyDescent="0.25">
      <c r="B52" s="240" t="s">
        <v>353</v>
      </c>
      <c r="C52" s="772"/>
      <c r="D52" s="772"/>
      <c r="E52" s="772"/>
      <c r="F52" s="772"/>
      <c r="G52" s="772"/>
      <c r="H52" s="772"/>
      <c r="I52" s="772"/>
      <c r="J52" s="772"/>
      <c r="K52" s="772"/>
      <c r="L52" s="772"/>
      <c r="M52" s="772"/>
      <c r="N52" s="772"/>
    </row>
    <row r="53" spans="1:15" x14ac:dyDescent="0.2">
      <c r="A53" s="237"/>
      <c r="B53" s="279" t="s">
        <v>401</v>
      </c>
      <c r="C53" s="242">
        <v>137</v>
      </c>
      <c r="D53" s="242">
        <v>137</v>
      </c>
      <c r="E53" s="242">
        <v>137</v>
      </c>
      <c r="F53" s="242">
        <v>137</v>
      </c>
      <c r="G53" s="242">
        <v>137</v>
      </c>
      <c r="H53" s="242">
        <v>137</v>
      </c>
      <c r="I53" s="242">
        <v>136</v>
      </c>
      <c r="J53" s="242">
        <v>135</v>
      </c>
      <c r="K53" s="242">
        <v>135</v>
      </c>
      <c r="L53" s="242">
        <v>136</v>
      </c>
      <c r="M53" s="242">
        <v>136</v>
      </c>
      <c r="N53" s="279">
        <v>135</v>
      </c>
    </row>
    <row r="54" spans="1:15" x14ac:dyDescent="0.2">
      <c r="A54" s="237"/>
      <c r="B54" s="253" t="s">
        <v>402</v>
      </c>
      <c r="C54" s="245">
        <v>5</v>
      </c>
      <c r="D54" s="245">
        <v>5</v>
      </c>
      <c r="E54" s="245">
        <v>5</v>
      </c>
      <c r="F54" s="245">
        <v>5</v>
      </c>
      <c r="G54" s="245">
        <v>5</v>
      </c>
      <c r="H54" s="245">
        <v>4</v>
      </c>
      <c r="I54" s="245">
        <v>4</v>
      </c>
      <c r="J54" s="245">
        <v>4</v>
      </c>
      <c r="K54" s="245">
        <v>3</v>
      </c>
      <c r="L54" s="245">
        <v>3</v>
      </c>
      <c r="M54" s="245">
        <v>2</v>
      </c>
      <c r="N54" s="253">
        <v>2</v>
      </c>
    </row>
    <row r="55" spans="1:15" ht="12" thickBot="1" x14ac:dyDescent="0.25">
      <c r="A55" s="237"/>
      <c r="B55" s="253" t="s">
        <v>403</v>
      </c>
      <c r="C55" s="247">
        <v>12</v>
      </c>
      <c r="D55" s="247">
        <v>14</v>
      </c>
      <c r="E55" s="247">
        <v>13</v>
      </c>
      <c r="F55" s="247">
        <v>17</v>
      </c>
      <c r="G55" s="247">
        <v>16</v>
      </c>
      <c r="H55" s="247">
        <v>19</v>
      </c>
      <c r="I55" s="247">
        <v>19</v>
      </c>
      <c r="J55" s="247">
        <v>19</v>
      </c>
      <c r="K55" s="247">
        <v>19</v>
      </c>
      <c r="L55" s="247">
        <v>16</v>
      </c>
      <c r="M55" s="247">
        <v>12</v>
      </c>
      <c r="N55" s="248">
        <v>13</v>
      </c>
    </row>
    <row r="56" spans="1:15" ht="12" thickBot="1" x14ac:dyDescent="0.25">
      <c r="A56" s="280"/>
      <c r="B56" s="257" t="s">
        <v>404</v>
      </c>
      <c r="C56" s="251">
        <v>149.75</v>
      </c>
      <c r="D56" s="250">
        <v>151.75</v>
      </c>
      <c r="E56" s="250">
        <v>150.75</v>
      </c>
      <c r="F56" s="250">
        <v>154.75</v>
      </c>
      <c r="G56" s="250">
        <v>153.75</v>
      </c>
      <c r="H56" s="250">
        <v>156.6</v>
      </c>
      <c r="I56" s="250">
        <v>155.6</v>
      </c>
      <c r="J56" s="250">
        <v>154.6</v>
      </c>
      <c r="K56" s="250">
        <v>154.44999999999999</v>
      </c>
      <c r="L56" s="250">
        <v>152.44999999999999</v>
      </c>
      <c r="M56" s="250">
        <v>148.30000000000001</v>
      </c>
      <c r="N56" s="251">
        <v>148.30000000000001</v>
      </c>
      <c r="O56" s="252">
        <v>152.58750000000001</v>
      </c>
    </row>
    <row r="57" spans="1:15" x14ac:dyDescent="0.2">
      <c r="A57" s="280"/>
      <c r="B57" s="253" t="s">
        <v>405</v>
      </c>
      <c r="C57" s="245">
        <v>23</v>
      </c>
      <c r="D57" s="245">
        <v>23</v>
      </c>
      <c r="E57" s="245">
        <v>23</v>
      </c>
      <c r="F57" s="245">
        <v>23</v>
      </c>
      <c r="G57" s="245">
        <v>23</v>
      </c>
      <c r="H57" s="245">
        <v>23</v>
      </c>
      <c r="I57" s="245">
        <v>22</v>
      </c>
      <c r="J57" s="245">
        <v>22</v>
      </c>
      <c r="K57" s="245">
        <v>22</v>
      </c>
      <c r="L57" s="245">
        <v>22</v>
      </c>
      <c r="M57" s="245">
        <v>22</v>
      </c>
      <c r="N57" s="279">
        <v>22</v>
      </c>
    </row>
    <row r="58" spans="1:15" x14ac:dyDescent="0.2">
      <c r="A58" s="237"/>
      <c r="B58" s="253" t="s">
        <v>406</v>
      </c>
      <c r="C58" s="245">
        <v>1</v>
      </c>
      <c r="D58" s="245">
        <v>1</v>
      </c>
      <c r="E58" s="245">
        <v>1</v>
      </c>
      <c r="F58" s="245">
        <v>1</v>
      </c>
      <c r="G58" s="245">
        <v>1</v>
      </c>
      <c r="H58" s="245">
        <v>1</v>
      </c>
      <c r="I58" s="245">
        <v>1</v>
      </c>
      <c r="J58" s="245">
        <v>1</v>
      </c>
      <c r="K58" s="245">
        <v>0</v>
      </c>
      <c r="L58" s="245">
        <v>0</v>
      </c>
      <c r="M58" s="245">
        <v>0</v>
      </c>
      <c r="N58" s="253">
        <v>0</v>
      </c>
    </row>
    <row r="59" spans="1:15" ht="12" thickBot="1" x14ac:dyDescent="0.25">
      <c r="A59" s="237"/>
      <c r="B59" s="253" t="s">
        <v>407</v>
      </c>
      <c r="C59" s="245">
        <v>0</v>
      </c>
      <c r="D59" s="261">
        <v>0</v>
      </c>
      <c r="E59" s="261">
        <v>0</v>
      </c>
      <c r="F59" s="261">
        <v>0</v>
      </c>
      <c r="G59" s="261">
        <v>1</v>
      </c>
      <c r="H59" s="261">
        <v>1</v>
      </c>
      <c r="I59" s="261">
        <v>1</v>
      </c>
      <c r="J59" s="261">
        <v>0</v>
      </c>
      <c r="K59" s="261">
        <v>1</v>
      </c>
      <c r="L59" s="261">
        <v>1</v>
      </c>
      <c r="M59" s="261">
        <v>1</v>
      </c>
      <c r="N59" s="248">
        <v>1</v>
      </c>
    </row>
    <row r="60" spans="1:15" ht="12" thickBot="1" x14ac:dyDescent="0.25">
      <c r="A60" s="237"/>
      <c r="B60" s="257" t="s">
        <v>408</v>
      </c>
      <c r="C60" s="251">
        <v>23.15</v>
      </c>
      <c r="D60" s="262">
        <v>23.15</v>
      </c>
      <c r="E60" s="262">
        <v>23.15</v>
      </c>
      <c r="F60" s="262">
        <v>23.15</v>
      </c>
      <c r="G60" s="262">
        <v>24.15</v>
      </c>
      <c r="H60" s="262">
        <v>24.15</v>
      </c>
      <c r="I60" s="262">
        <v>23.15</v>
      </c>
      <c r="J60" s="262">
        <v>22.15</v>
      </c>
      <c r="K60" s="262">
        <v>23</v>
      </c>
      <c r="L60" s="262">
        <v>23</v>
      </c>
      <c r="M60" s="251">
        <v>23</v>
      </c>
      <c r="N60" s="251">
        <v>23</v>
      </c>
      <c r="O60" s="252">
        <v>23.183333333333337</v>
      </c>
    </row>
    <row r="61" spans="1:15" x14ac:dyDescent="0.2">
      <c r="A61" s="237"/>
      <c r="B61" s="253" t="s">
        <v>409</v>
      </c>
      <c r="C61" s="245">
        <v>6</v>
      </c>
      <c r="D61" s="245">
        <v>6</v>
      </c>
      <c r="E61" s="245">
        <v>6</v>
      </c>
      <c r="F61" s="245">
        <v>6</v>
      </c>
      <c r="G61" s="245">
        <v>6</v>
      </c>
      <c r="H61" s="245">
        <v>6</v>
      </c>
      <c r="I61" s="245">
        <v>6</v>
      </c>
      <c r="J61" s="245">
        <v>6</v>
      </c>
      <c r="K61" s="245">
        <v>6</v>
      </c>
      <c r="L61" s="245">
        <v>6</v>
      </c>
      <c r="M61" s="245">
        <v>6</v>
      </c>
      <c r="N61" s="279">
        <v>6</v>
      </c>
    </row>
    <row r="62" spans="1:15" x14ac:dyDescent="0.2">
      <c r="A62" s="237"/>
      <c r="B62" s="253" t="s">
        <v>410</v>
      </c>
      <c r="C62" s="245">
        <v>0</v>
      </c>
      <c r="D62" s="245">
        <v>0</v>
      </c>
      <c r="E62" s="245">
        <v>0</v>
      </c>
      <c r="F62" s="245">
        <v>0</v>
      </c>
      <c r="G62" s="245">
        <v>0</v>
      </c>
      <c r="H62" s="245">
        <v>0</v>
      </c>
      <c r="I62" s="245">
        <v>0</v>
      </c>
      <c r="J62" s="245">
        <v>0</v>
      </c>
      <c r="K62" s="245">
        <v>0</v>
      </c>
      <c r="L62" s="245">
        <v>0</v>
      </c>
      <c r="M62" s="245">
        <v>0</v>
      </c>
      <c r="N62" s="253">
        <v>0</v>
      </c>
    </row>
    <row r="63" spans="1:15" ht="12" thickBot="1" x14ac:dyDescent="0.25">
      <c r="A63" s="237"/>
      <c r="B63" s="259" t="s">
        <v>411</v>
      </c>
      <c r="C63" s="245">
        <v>0</v>
      </c>
      <c r="D63" s="261">
        <v>0</v>
      </c>
      <c r="E63" s="261">
        <v>0</v>
      </c>
      <c r="F63" s="261">
        <v>0</v>
      </c>
      <c r="G63" s="261">
        <v>0</v>
      </c>
      <c r="H63" s="261">
        <v>0</v>
      </c>
      <c r="I63" s="261">
        <v>0</v>
      </c>
      <c r="J63" s="261">
        <v>0</v>
      </c>
      <c r="K63" s="261">
        <v>0</v>
      </c>
      <c r="L63" s="261">
        <v>0</v>
      </c>
      <c r="M63" s="261">
        <v>0</v>
      </c>
      <c r="N63" s="248">
        <v>0</v>
      </c>
    </row>
    <row r="64" spans="1:15" ht="12" thickBot="1" x14ac:dyDescent="0.25">
      <c r="A64" s="237"/>
      <c r="B64" s="257" t="s">
        <v>412</v>
      </c>
      <c r="C64" s="251">
        <v>6</v>
      </c>
      <c r="D64" s="262">
        <v>6</v>
      </c>
      <c r="E64" s="262">
        <v>6</v>
      </c>
      <c r="F64" s="262">
        <v>6</v>
      </c>
      <c r="G64" s="262">
        <v>6</v>
      </c>
      <c r="H64" s="262">
        <v>6</v>
      </c>
      <c r="I64" s="262">
        <v>6</v>
      </c>
      <c r="J64" s="262">
        <v>6</v>
      </c>
      <c r="K64" s="262">
        <v>6</v>
      </c>
      <c r="L64" s="262">
        <v>6</v>
      </c>
      <c r="M64" s="251">
        <v>6</v>
      </c>
      <c r="N64" s="251">
        <v>6</v>
      </c>
      <c r="O64" s="252">
        <v>6</v>
      </c>
    </row>
    <row r="65" spans="1:28" x14ac:dyDescent="0.2">
      <c r="A65" s="237"/>
      <c r="B65" s="281" t="s">
        <v>378</v>
      </c>
      <c r="C65" s="245">
        <v>0</v>
      </c>
      <c r="D65" s="245">
        <v>0</v>
      </c>
      <c r="E65" s="245">
        <v>0</v>
      </c>
      <c r="F65" s="245">
        <v>0</v>
      </c>
      <c r="G65" s="245">
        <v>0</v>
      </c>
      <c r="H65" s="245">
        <v>0</v>
      </c>
      <c r="I65" s="245">
        <v>0</v>
      </c>
      <c r="J65" s="245">
        <v>0</v>
      </c>
      <c r="K65" s="245">
        <v>0</v>
      </c>
      <c r="L65" s="245">
        <v>0</v>
      </c>
      <c r="M65" s="245">
        <v>0</v>
      </c>
      <c r="N65" s="279">
        <v>0</v>
      </c>
    </row>
    <row r="66" spans="1:28" x14ac:dyDescent="0.2">
      <c r="A66" s="237"/>
      <c r="B66" s="282" t="s">
        <v>379</v>
      </c>
      <c r="C66" s="245">
        <v>0</v>
      </c>
      <c r="D66" s="245">
        <v>0</v>
      </c>
      <c r="E66" s="245">
        <v>0</v>
      </c>
      <c r="F66" s="245">
        <v>0</v>
      </c>
      <c r="G66" s="245">
        <v>0</v>
      </c>
      <c r="H66" s="245">
        <v>0</v>
      </c>
      <c r="I66" s="245">
        <v>0</v>
      </c>
      <c r="J66" s="245">
        <v>0</v>
      </c>
      <c r="K66" s="245">
        <v>0</v>
      </c>
      <c r="L66" s="245">
        <v>0</v>
      </c>
      <c r="M66" s="245">
        <v>0</v>
      </c>
      <c r="N66" s="253">
        <v>0</v>
      </c>
    </row>
    <row r="67" spans="1:28" ht="12" thickBot="1" x14ac:dyDescent="0.25">
      <c r="A67" s="237"/>
      <c r="B67" s="282" t="s">
        <v>380</v>
      </c>
      <c r="C67" s="245">
        <v>0</v>
      </c>
      <c r="D67" s="261">
        <v>0</v>
      </c>
      <c r="E67" s="261">
        <v>0</v>
      </c>
      <c r="F67" s="261">
        <v>0</v>
      </c>
      <c r="G67" s="261">
        <v>0</v>
      </c>
      <c r="H67" s="261">
        <v>0</v>
      </c>
      <c r="I67" s="261">
        <v>0</v>
      </c>
      <c r="J67" s="261">
        <v>0</v>
      </c>
      <c r="K67" s="261">
        <v>0</v>
      </c>
      <c r="L67" s="261">
        <v>0</v>
      </c>
      <c r="M67" s="261">
        <v>0</v>
      </c>
      <c r="N67" s="253">
        <v>0</v>
      </c>
    </row>
    <row r="68" spans="1:28" ht="12" thickBot="1" x14ac:dyDescent="0.25">
      <c r="A68" s="263"/>
      <c r="B68" s="283" t="s">
        <v>413</v>
      </c>
      <c r="C68" s="251">
        <v>0</v>
      </c>
      <c r="D68" s="262">
        <v>0</v>
      </c>
      <c r="E68" s="262">
        <v>0</v>
      </c>
      <c r="F68" s="262">
        <v>0</v>
      </c>
      <c r="G68" s="262">
        <v>0</v>
      </c>
      <c r="H68" s="262">
        <v>0</v>
      </c>
      <c r="I68" s="262">
        <v>0</v>
      </c>
      <c r="J68" s="262">
        <v>0</v>
      </c>
      <c r="K68" s="262">
        <v>0</v>
      </c>
      <c r="L68" s="262">
        <v>0</v>
      </c>
      <c r="M68" s="262">
        <v>0</v>
      </c>
      <c r="N68" s="251">
        <v>0</v>
      </c>
      <c r="O68" s="252">
        <v>0</v>
      </c>
    </row>
    <row r="69" spans="1:28" x14ac:dyDescent="0.2">
      <c r="A69" s="263"/>
      <c r="B69" s="281" t="s">
        <v>382</v>
      </c>
      <c r="C69" s="245">
        <v>8</v>
      </c>
      <c r="D69" s="245">
        <v>8</v>
      </c>
      <c r="E69" s="245">
        <v>8</v>
      </c>
      <c r="F69" s="245">
        <v>8</v>
      </c>
      <c r="G69" s="245">
        <v>7</v>
      </c>
      <c r="H69" s="245">
        <v>7</v>
      </c>
      <c r="I69" s="245">
        <v>7</v>
      </c>
      <c r="J69" s="245">
        <v>6</v>
      </c>
      <c r="K69" s="245">
        <v>6</v>
      </c>
      <c r="L69" s="245">
        <v>6</v>
      </c>
      <c r="M69" s="245">
        <v>6</v>
      </c>
      <c r="N69" s="253">
        <v>6</v>
      </c>
    </row>
    <row r="70" spans="1:28" x14ac:dyDescent="0.2">
      <c r="A70" s="263"/>
      <c r="B70" s="282" t="s">
        <v>383</v>
      </c>
      <c r="C70" s="245">
        <v>0</v>
      </c>
      <c r="D70" s="245">
        <v>0</v>
      </c>
      <c r="E70" s="245">
        <v>0</v>
      </c>
      <c r="F70" s="245">
        <v>0</v>
      </c>
      <c r="G70" s="245">
        <v>1</v>
      </c>
      <c r="H70" s="245">
        <v>1</v>
      </c>
      <c r="I70" s="245">
        <v>1</v>
      </c>
      <c r="J70" s="245">
        <v>2</v>
      </c>
      <c r="K70" s="245">
        <v>2</v>
      </c>
      <c r="L70" s="245">
        <v>2</v>
      </c>
      <c r="M70" s="245">
        <v>2</v>
      </c>
      <c r="N70" s="253">
        <v>2</v>
      </c>
    </row>
    <row r="71" spans="1:28" ht="12" thickBot="1" x14ac:dyDescent="0.25">
      <c r="A71" s="263"/>
      <c r="B71" s="282" t="s">
        <v>384</v>
      </c>
      <c r="C71" s="245">
        <v>0</v>
      </c>
      <c r="D71" s="261">
        <v>0</v>
      </c>
      <c r="E71" s="261">
        <v>0</v>
      </c>
      <c r="F71" s="261">
        <v>0</v>
      </c>
      <c r="G71" s="261">
        <v>0</v>
      </c>
      <c r="H71" s="261">
        <v>0</v>
      </c>
      <c r="I71" s="261">
        <v>0</v>
      </c>
      <c r="J71" s="261">
        <v>0</v>
      </c>
      <c r="K71" s="261">
        <v>0</v>
      </c>
      <c r="L71" s="261">
        <v>0</v>
      </c>
      <c r="M71" s="261">
        <v>0</v>
      </c>
      <c r="N71" s="253">
        <v>0</v>
      </c>
    </row>
    <row r="72" spans="1:28" ht="12" thickBot="1" x14ac:dyDescent="0.25">
      <c r="A72" s="263"/>
      <c r="B72" s="283" t="s">
        <v>414</v>
      </c>
      <c r="C72" s="251">
        <v>8</v>
      </c>
      <c r="D72" s="262">
        <v>8</v>
      </c>
      <c r="E72" s="262">
        <v>8</v>
      </c>
      <c r="F72" s="262">
        <v>8</v>
      </c>
      <c r="G72" s="262">
        <v>7.15</v>
      </c>
      <c r="H72" s="262">
        <v>7.15</v>
      </c>
      <c r="I72" s="262">
        <v>7.15</v>
      </c>
      <c r="J72" s="262">
        <v>6.3</v>
      </c>
      <c r="K72" s="262">
        <v>6.3</v>
      </c>
      <c r="L72" s="262">
        <v>6.3</v>
      </c>
      <c r="M72" s="251">
        <v>6.3</v>
      </c>
      <c r="N72" s="251">
        <v>6.3</v>
      </c>
      <c r="O72" s="252">
        <v>7.0791666666666657</v>
      </c>
    </row>
    <row r="73" spans="1:28" x14ac:dyDescent="0.2">
      <c r="A73" s="280"/>
      <c r="B73" s="241" t="s">
        <v>415</v>
      </c>
      <c r="C73" s="242">
        <v>174</v>
      </c>
      <c r="D73" s="242">
        <v>174</v>
      </c>
      <c r="E73" s="242">
        <v>174</v>
      </c>
      <c r="F73" s="242">
        <v>174</v>
      </c>
      <c r="G73" s="242">
        <v>173</v>
      </c>
      <c r="H73" s="242">
        <v>173</v>
      </c>
      <c r="I73" s="242">
        <v>171</v>
      </c>
      <c r="J73" s="242">
        <v>169</v>
      </c>
      <c r="K73" s="242">
        <v>169</v>
      </c>
      <c r="L73" s="242">
        <v>170</v>
      </c>
      <c r="M73" s="242">
        <v>170</v>
      </c>
      <c r="N73" s="279">
        <v>169</v>
      </c>
    </row>
    <row r="74" spans="1:28" x14ac:dyDescent="0.2">
      <c r="A74" s="237"/>
      <c r="B74" s="244" t="s">
        <v>416</v>
      </c>
      <c r="C74" s="284">
        <v>6</v>
      </c>
      <c r="D74" s="284">
        <v>6</v>
      </c>
      <c r="E74" s="284">
        <v>6</v>
      </c>
      <c r="F74" s="284">
        <v>6</v>
      </c>
      <c r="G74" s="284">
        <v>7</v>
      </c>
      <c r="H74" s="284">
        <v>6</v>
      </c>
      <c r="I74" s="284">
        <v>6</v>
      </c>
      <c r="J74" s="284">
        <v>7</v>
      </c>
      <c r="K74" s="284">
        <v>5</v>
      </c>
      <c r="L74" s="284">
        <v>5</v>
      </c>
      <c r="M74" s="284">
        <v>4</v>
      </c>
      <c r="N74" s="253">
        <v>4</v>
      </c>
    </row>
    <row r="75" spans="1:28" ht="12" thickBot="1" x14ac:dyDescent="0.25">
      <c r="A75" s="237"/>
      <c r="B75" s="244" t="s">
        <v>417</v>
      </c>
      <c r="C75" s="285">
        <v>12</v>
      </c>
      <c r="D75" s="285">
        <v>14</v>
      </c>
      <c r="E75" s="285">
        <v>13</v>
      </c>
      <c r="F75" s="285">
        <v>17</v>
      </c>
      <c r="G75" s="285">
        <v>17</v>
      </c>
      <c r="H75" s="285">
        <v>20</v>
      </c>
      <c r="I75" s="285">
        <v>20</v>
      </c>
      <c r="J75" s="285">
        <v>19</v>
      </c>
      <c r="K75" s="285">
        <v>20</v>
      </c>
      <c r="L75" s="285">
        <v>17</v>
      </c>
      <c r="M75" s="285">
        <v>13</v>
      </c>
      <c r="N75" s="248">
        <v>14</v>
      </c>
    </row>
    <row r="76" spans="1:28" ht="12" thickBot="1" x14ac:dyDescent="0.25">
      <c r="A76" s="237"/>
      <c r="B76" s="249" t="s">
        <v>418</v>
      </c>
      <c r="C76" s="250">
        <v>186.9</v>
      </c>
      <c r="D76" s="250">
        <v>188.9</v>
      </c>
      <c r="E76" s="250">
        <v>187.9</v>
      </c>
      <c r="F76" s="250">
        <v>191.9</v>
      </c>
      <c r="G76" s="250">
        <v>191.05</v>
      </c>
      <c r="H76" s="250">
        <v>193.9</v>
      </c>
      <c r="I76" s="250">
        <v>191.9</v>
      </c>
      <c r="J76" s="250">
        <v>189.05</v>
      </c>
      <c r="K76" s="250">
        <v>189.75</v>
      </c>
      <c r="L76" s="250">
        <v>187.75</v>
      </c>
      <c r="M76" s="250">
        <v>183.6</v>
      </c>
      <c r="N76" s="250">
        <v>183.6</v>
      </c>
      <c r="O76" s="252">
        <v>188.85000000000002</v>
      </c>
      <c r="P76" s="265" t="s">
        <v>419</v>
      </c>
      <c r="Q76" s="236">
        <v>174</v>
      </c>
      <c r="R76" s="236">
        <v>174</v>
      </c>
      <c r="S76" s="236">
        <v>174</v>
      </c>
      <c r="T76" s="236">
        <v>174</v>
      </c>
      <c r="U76" s="236">
        <v>173</v>
      </c>
      <c r="V76" s="236">
        <v>173</v>
      </c>
      <c r="W76" s="236">
        <v>171</v>
      </c>
      <c r="X76" s="236">
        <v>169</v>
      </c>
      <c r="Y76" s="236">
        <v>169</v>
      </c>
      <c r="Z76" s="236">
        <v>170</v>
      </c>
      <c r="AA76" s="236">
        <v>170</v>
      </c>
      <c r="AB76" s="236">
        <v>169</v>
      </c>
    </row>
    <row r="77" spans="1:28" x14ac:dyDescent="0.2">
      <c r="A77" s="237"/>
      <c r="B77" s="286" t="s">
        <v>420</v>
      </c>
      <c r="C77" s="287">
        <v>174</v>
      </c>
      <c r="D77" s="268">
        <v>174</v>
      </c>
      <c r="E77" s="268">
        <v>174</v>
      </c>
      <c r="F77" s="268">
        <v>174</v>
      </c>
      <c r="G77" s="268">
        <v>173.8</v>
      </c>
      <c r="H77" s="268">
        <v>173.66666666666666</v>
      </c>
      <c r="I77" s="268">
        <v>173.28571428571428</v>
      </c>
      <c r="J77" s="268">
        <v>172.75</v>
      </c>
      <c r="K77" s="268">
        <v>172.33333333333334</v>
      </c>
      <c r="L77" s="268">
        <v>172.1</v>
      </c>
      <c r="M77" s="268">
        <v>171.90909090909091</v>
      </c>
      <c r="N77" s="268">
        <v>171.66666666666666</v>
      </c>
      <c r="P77" s="265" t="s">
        <v>421</v>
      </c>
      <c r="Q77" s="236">
        <v>6</v>
      </c>
      <c r="R77" s="236">
        <v>6</v>
      </c>
      <c r="S77" s="236">
        <v>6</v>
      </c>
      <c r="T77" s="236">
        <v>6</v>
      </c>
      <c r="U77" s="236">
        <v>7</v>
      </c>
      <c r="V77" s="236">
        <v>6</v>
      </c>
      <c r="W77" s="236">
        <v>6</v>
      </c>
      <c r="X77" s="236">
        <v>7</v>
      </c>
      <c r="Y77" s="236">
        <v>5</v>
      </c>
      <c r="Z77" s="236">
        <v>5</v>
      </c>
      <c r="AA77" s="236">
        <v>4</v>
      </c>
      <c r="AB77" s="236">
        <v>4</v>
      </c>
    </row>
    <row r="78" spans="1:28" x14ac:dyDescent="0.2">
      <c r="A78" s="237"/>
      <c r="B78" s="286" t="s">
        <v>422</v>
      </c>
      <c r="C78" s="288">
        <v>6</v>
      </c>
      <c r="D78" s="272">
        <v>6</v>
      </c>
      <c r="E78" s="272">
        <v>6</v>
      </c>
      <c r="F78" s="272">
        <v>6</v>
      </c>
      <c r="G78" s="272">
        <v>6.2</v>
      </c>
      <c r="H78" s="272">
        <v>6.166666666666667</v>
      </c>
      <c r="I78" s="272">
        <v>6.1428571428571432</v>
      </c>
      <c r="J78" s="272">
        <v>6.25</v>
      </c>
      <c r="K78" s="272">
        <v>6.1111111111111107</v>
      </c>
      <c r="L78" s="272">
        <v>6</v>
      </c>
      <c r="M78" s="272">
        <v>5.8181818181818183</v>
      </c>
      <c r="N78" s="272">
        <v>5.666666666666667</v>
      </c>
      <c r="P78" s="265" t="s">
        <v>423</v>
      </c>
      <c r="Q78" s="236">
        <v>12</v>
      </c>
      <c r="R78" s="236">
        <v>14</v>
      </c>
      <c r="S78" s="236">
        <v>13</v>
      </c>
      <c r="T78" s="236">
        <v>17</v>
      </c>
      <c r="U78" s="236">
        <v>17</v>
      </c>
      <c r="V78" s="236">
        <v>20</v>
      </c>
      <c r="W78" s="236">
        <v>20</v>
      </c>
      <c r="X78" s="236">
        <v>19</v>
      </c>
      <c r="Y78" s="236">
        <v>20</v>
      </c>
      <c r="Z78" s="236">
        <v>17</v>
      </c>
      <c r="AA78" s="236">
        <v>13</v>
      </c>
      <c r="AB78" s="236">
        <v>14</v>
      </c>
    </row>
    <row r="79" spans="1:28" ht="12" thickBot="1" x14ac:dyDescent="0.25">
      <c r="A79" s="237"/>
      <c r="B79" s="286" t="s">
        <v>424</v>
      </c>
      <c r="C79" s="289">
        <v>12</v>
      </c>
      <c r="D79" s="272">
        <v>13</v>
      </c>
      <c r="E79" s="272">
        <v>13</v>
      </c>
      <c r="F79" s="272">
        <v>14</v>
      </c>
      <c r="G79" s="272">
        <v>14.6</v>
      </c>
      <c r="H79" s="273">
        <v>15.5</v>
      </c>
      <c r="I79" s="273">
        <v>16.142857142857142</v>
      </c>
      <c r="J79" s="273">
        <v>16.5</v>
      </c>
      <c r="K79" s="273">
        <v>16.888888888888889</v>
      </c>
      <c r="L79" s="273">
        <v>16.899999999999999</v>
      </c>
      <c r="M79" s="273">
        <v>16.545454545454547</v>
      </c>
      <c r="N79" s="272">
        <v>16.333333333333332</v>
      </c>
      <c r="P79" s="236" t="s">
        <v>425</v>
      </c>
      <c r="Q79" s="236">
        <v>174</v>
      </c>
      <c r="R79" s="236">
        <v>348</v>
      </c>
      <c r="S79" s="236">
        <v>522</v>
      </c>
      <c r="T79" s="236">
        <v>696</v>
      </c>
      <c r="U79" s="236">
        <v>869</v>
      </c>
      <c r="V79" s="236">
        <v>1042</v>
      </c>
      <c r="W79" s="236">
        <v>1213</v>
      </c>
      <c r="X79" s="236">
        <v>1382</v>
      </c>
      <c r="Y79" s="236">
        <v>1551</v>
      </c>
      <c r="Z79" s="236">
        <v>1721</v>
      </c>
      <c r="AA79" s="236">
        <v>1891</v>
      </c>
      <c r="AB79" s="236">
        <v>2060</v>
      </c>
    </row>
    <row r="80" spans="1:28" ht="12" thickBot="1" x14ac:dyDescent="0.25">
      <c r="A80" s="237"/>
      <c r="B80" s="274" t="s">
        <v>426</v>
      </c>
      <c r="C80" s="275">
        <v>186.9</v>
      </c>
      <c r="D80" s="275">
        <v>187.9</v>
      </c>
      <c r="E80" s="275">
        <v>187.9</v>
      </c>
      <c r="F80" s="275">
        <v>188.9</v>
      </c>
      <c r="G80" s="275">
        <v>189.33</v>
      </c>
      <c r="H80" s="275">
        <v>190.09166666666667</v>
      </c>
      <c r="I80" s="275">
        <v>190.35</v>
      </c>
      <c r="J80" s="275">
        <v>190.1875</v>
      </c>
      <c r="K80" s="275">
        <v>190.13888888888889</v>
      </c>
      <c r="L80" s="275">
        <v>189.9</v>
      </c>
      <c r="M80" s="275">
        <v>189.32727272727271</v>
      </c>
      <c r="N80" s="275">
        <v>188.85</v>
      </c>
      <c r="P80" s="236" t="s">
        <v>427</v>
      </c>
      <c r="Q80" s="236">
        <v>6</v>
      </c>
      <c r="R80" s="236">
        <v>12</v>
      </c>
      <c r="S80" s="236">
        <v>18</v>
      </c>
      <c r="T80" s="236">
        <v>24</v>
      </c>
      <c r="U80" s="236">
        <v>31</v>
      </c>
      <c r="V80" s="236">
        <v>37</v>
      </c>
      <c r="W80" s="236">
        <v>43</v>
      </c>
      <c r="X80" s="236">
        <v>50</v>
      </c>
      <c r="Y80" s="236">
        <v>55</v>
      </c>
      <c r="Z80" s="236">
        <v>60</v>
      </c>
      <c r="AA80" s="236">
        <v>64</v>
      </c>
      <c r="AB80" s="236">
        <v>68</v>
      </c>
    </row>
    <row r="81" spans="1:28" x14ac:dyDescent="0.2">
      <c r="A81" s="237"/>
      <c r="B81" s="290"/>
      <c r="C81" s="291"/>
      <c r="P81" s="236" t="s">
        <v>428</v>
      </c>
      <c r="Q81" s="236">
        <v>12</v>
      </c>
      <c r="R81" s="236">
        <v>26</v>
      </c>
      <c r="S81" s="236">
        <v>39</v>
      </c>
      <c r="T81" s="236">
        <v>56</v>
      </c>
      <c r="U81" s="236">
        <v>73</v>
      </c>
      <c r="V81" s="236">
        <v>93</v>
      </c>
      <c r="W81" s="236">
        <v>113</v>
      </c>
      <c r="X81" s="236">
        <v>132</v>
      </c>
      <c r="Y81" s="236">
        <v>152</v>
      </c>
      <c r="Z81" s="236">
        <v>169</v>
      </c>
      <c r="AA81" s="236">
        <v>182</v>
      </c>
      <c r="AB81" s="236">
        <v>196</v>
      </c>
    </row>
    <row r="82" spans="1:28" x14ac:dyDescent="0.2">
      <c r="A82" s="292"/>
      <c r="B82" s="293"/>
      <c r="C82" s="294"/>
      <c r="D82" s="295"/>
    </row>
    <row r="83" spans="1:28" x14ac:dyDescent="0.2">
      <c r="A83" s="237"/>
    </row>
    <row r="84" spans="1:28" ht="12" thickBot="1" x14ac:dyDescent="0.25">
      <c r="A84" s="237"/>
    </row>
    <row r="85" spans="1:28" ht="15.75" x14ac:dyDescent="0.25">
      <c r="B85" s="277" t="s">
        <v>429</v>
      </c>
      <c r="C85" s="768" t="s">
        <v>340</v>
      </c>
      <c r="D85" s="769"/>
      <c r="E85" s="769"/>
      <c r="F85" s="769"/>
      <c r="G85" s="769"/>
      <c r="H85" s="769"/>
      <c r="I85" s="769"/>
      <c r="J85" s="769"/>
      <c r="K85" s="769"/>
      <c r="L85" s="769"/>
      <c r="M85" s="769"/>
      <c r="N85" s="770"/>
    </row>
    <row r="86" spans="1:28" x14ac:dyDescent="0.2">
      <c r="B86" s="278"/>
      <c r="C86" s="771" t="s">
        <v>341</v>
      </c>
      <c r="D86" s="771" t="s">
        <v>342</v>
      </c>
      <c r="E86" s="771" t="s">
        <v>343</v>
      </c>
      <c r="F86" s="771" t="s">
        <v>344</v>
      </c>
      <c r="G86" s="771" t="s">
        <v>345</v>
      </c>
      <c r="H86" s="771" t="s">
        <v>346</v>
      </c>
      <c r="I86" s="771" t="s">
        <v>347</v>
      </c>
      <c r="J86" s="771" t="s">
        <v>348</v>
      </c>
      <c r="K86" s="771" t="s">
        <v>349</v>
      </c>
      <c r="L86" s="771" t="s">
        <v>350</v>
      </c>
      <c r="M86" s="771" t="s">
        <v>351</v>
      </c>
      <c r="N86" s="771" t="s">
        <v>352</v>
      </c>
    </row>
    <row r="87" spans="1:28" ht="12.75" thickBot="1" x14ac:dyDescent="0.25">
      <c r="B87" s="240" t="s">
        <v>353</v>
      </c>
      <c r="C87" s="772"/>
      <c r="D87" s="772"/>
      <c r="E87" s="772"/>
      <c r="F87" s="772"/>
      <c r="G87" s="772"/>
      <c r="H87" s="772"/>
      <c r="I87" s="772"/>
      <c r="J87" s="772"/>
      <c r="K87" s="772"/>
      <c r="L87" s="772"/>
      <c r="M87" s="772"/>
      <c r="N87" s="772"/>
    </row>
    <row r="88" spans="1:28" x14ac:dyDescent="0.2">
      <c r="B88" s="253" t="s">
        <v>366</v>
      </c>
      <c r="C88" s="245">
        <v>31</v>
      </c>
      <c r="D88" s="245">
        <v>32</v>
      </c>
      <c r="E88" s="245">
        <v>30</v>
      </c>
      <c r="F88" s="245">
        <v>29</v>
      </c>
      <c r="G88" s="245">
        <v>29</v>
      </c>
      <c r="H88" s="245">
        <v>29</v>
      </c>
      <c r="I88" s="245">
        <v>29</v>
      </c>
      <c r="J88" s="245">
        <v>29</v>
      </c>
      <c r="K88" s="245">
        <v>28</v>
      </c>
      <c r="L88" s="245">
        <v>28</v>
      </c>
      <c r="M88" s="245">
        <v>28</v>
      </c>
      <c r="N88" s="279">
        <v>28</v>
      </c>
    </row>
    <row r="89" spans="1:28" x14ac:dyDescent="0.2">
      <c r="B89" s="253" t="s">
        <v>367</v>
      </c>
      <c r="C89" s="245">
        <v>0</v>
      </c>
      <c r="D89" s="245">
        <v>0</v>
      </c>
      <c r="E89" s="245">
        <v>0</v>
      </c>
      <c r="F89" s="245">
        <v>0</v>
      </c>
      <c r="G89" s="245">
        <v>0</v>
      </c>
      <c r="H89" s="245">
        <v>0</v>
      </c>
      <c r="I89" s="245">
        <v>0</v>
      </c>
      <c r="J89" s="245">
        <v>0</v>
      </c>
      <c r="K89" s="245">
        <v>0</v>
      </c>
      <c r="L89" s="245">
        <v>0</v>
      </c>
      <c r="M89" s="245">
        <v>0</v>
      </c>
      <c r="N89" s="253">
        <v>0</v>
      </c>
    </row>
    <row r="90" spans="1:28" ht="12" thickBot="1" x14ac:dyDescent="0.25">
      <c r="B90" s="253" t="s">
        <v>368</v>
      </c>
      <c r="C90" s="245">
        <v>1</v>
      </c>
      <c r="D90" s="245">
        <v>1</v>
      </c>
      <c r="E90" s="245">
        <v>3</v>
      </c>
      <c r="F90" s="245">
        <v>3</v>
      </c>
      <c r="G90" s="245">
        <v>3</v>
      </c>
      <c r="H90" s="245">
        <v>3</v>
      </c>
      <c r="I90" s="245">
        <v>3</v>
      </c>
      <c r="J90" s="245">
        <v>2</v>
      </c>
      <c r="K90" s="245">
        <v>2</v>
      </c>
      <c r="L90" s="245">
        <v>2</v>
      </c>
      <c r="M90" s="245">
        <v>3</v>
      </c>
      <c r="N90" s="248">
        <v>3</v>
      </c>
    </row>
    <row r="91" spans="1:28" ht="12" thickBot="1" x14ac:dyDescent="0.25">
      <c r="B91" s="249" t="s">
        <v>430</v>
      </c>
      <c r="C91" s="251">
        <v>32</v>
      </c>
      <c r="D91" s="255">
        <v>33</v>
      </c>
      <c r="E91" s="255">
        <v>33</v>
      </c>
      <c r="F91" s="255">
        <v>32</v>
      </c>
      <c r="G91" s="255">
        <v>32</v>
      </c>
      <c r="H91" s="255">
        <v>32</v>
      </c>
      <c r="I91" s="255">
        <v>32</v>
      </c>
      <c r="J91" s="255">
        <v>31</v>
      </c>
      <c r="K91" s="255">
        <v>30</v>
      </c>
      <c r="L91" s="255">
        <v>30</v>
      </c>
      <c r="M91" s="255">
        <v>31</v>
      </c>
      <c r="N91" s="255">
        <v>31</v>
      </c>
      <c r="O91" s="252">
        <v>31.583333333333332</v>
      </c>
    </row>
    <row r="92" spans="1:28" x14ac:dyDescent="0.2">
      <c r="B92" s="259" t="s">
        <v>409</v>
      </c>
      <c r="C92" s="245">
        <v>3</v>
      </c>
      <c r="D92" s="245">
        <v>3</v>
      </c>
      <c r="E92" s="245">
        <v>3</v>
      </c>
      <c r="F92" s="245">
        <v>3</v>
      </c>
      <c r="G92" s="245">
        <v>3</v>
      </c>
      <c r="H92" s="245">
        <v>3</v>
      </c>
      <c r="I92" s="245">
        <v>3</v>
      </c>
      <c r="J92" s="245">
        <v>3</v>
      </c>
      <c r="K92" s="245">
        <v>3</v>
      </c>
      <c r="L92" s="245">
        <v>3</v>
      </c>
      <c r="M92" s="245">
        <v>3</v>
      </c>
      <c r="N92" s="279">
        <v>3</v>
      </c>
    </row>
    <row r="93" spans="1:28" x14ac:dyDescent="0.2">
      <c r="B93" s="259" t="s">
        <v>410</v>
      </c>
      <c r="C93" s="245">
        <v>0</v>
      </c>
      <c r="D93" s="245">
        <v>0</v>
      </c>
      <c r="E93" s="245">
        <v>0</v>
      </c>
      <c r="F93" s="245">
        <v>0</v>
      </c>
      <c r="G93" s="245">
        <v>0</v>
      </c>
      <c r="H93" s="245">
        <v>0</v>
      </c>
      <c r="I93" s="245">
        <v>0</v>
      </c>
      <c r="J93" s="245">
        <v>0</v>
      </c>
      <c r="K93" s="245">
        <v>0</v>
      </c>
      <c r="L93" s="245">
        <v>0</v>
      </c>
      <c r="M93" s="245">
        <v>0</v>
      </c>
      <c r="N93" s="253">
        <v>0</v>
      </c>
    </row>
    <row r="94" spans="1:28" ht="12" thickBot="1" x14ac:dyDescent="0.25">
      <c r="B94" s="259" t="s">
        <v>411</v>
      </c>
      <c r="C94" s="245">
        <v>0</v>
      </c>
      <c r="D94" s="245">
        <v>0</v>
      </c>
      <c r="E94" s="245">
        <v>0</v>
      </c>
      <c r="F94" s="245">
        <v>0</v>
      </c>
      <c r="G94" s="245">
        <v>0</v>
      </c>
      <c r="H94" s="245">
        <v>0</v>
      </c>
      <c r="I94" s="245">
        <v>0</v>
      </c>
      <c r="J94" s="245">
        <v>0</v>
      </c>
      <c r="K94" s="245">
        <v>0</v>
      </c>
      <c r="L94" s="245">
        <v>0</v>
      </c>
      <c r="M94" s="245">
        <v>0</v>
      </c>
      <c r="N94" s="248">
        <v>0</v>
      </c>
    </row>
    <row r="95" spans="1:28" ht="12" thickBot="1" x14ac:dyDescent="0.25">
      <c r="B95" s="257" t="s">
        <v>431</v>
      </c>
      <c r="C95" s="251">
        <v>3</v>
      </c>
      <c r="D95" s="255">
        <v>3</v>
      </c>
      <c r="E95" s="255">
        <v>3</v>
      </c>
      <c r="F95" s="255">
        <v>3</v>
      </c>
      <c r="G95" s="255">
        <v>3</v>
      </c>
      <c r="H95" s="255">
        <v>3</v>
      </c>
      <c r="I95" s="255">
        <v>3</v>
      </c>
      <c r="J95" s="255">
        <v>3</v>
      </c>
      <c r="K95" s="255">
        <v>3</v>
      </c>
      <c r="L95" s="255">
        <v>3</v>
      </c>
      <c r="M95" s="255">
        <v>3</v>
      </c>
      <c r="N95" s="255">
        <v>3</v>
      </c>
      <c r="O95" s="252">
        <v>3</v>
      </c>
    </row>
    <row r="96" spans="1:28" x14ac:dyDescent="0.2">
      <c r="B96" s="296" t="s">
        <v>378</v>
      </c>
      <c r="C96" s="245">
        <v>0</v>
      </c>
      <c r="D96" s="245">
        <v>0</v>
      </c>
      <c r="E96" s="245">
        <v>0</v>
      </c>
      <c r="F96" s="245">
        <v>0</v>
      </c>
      <c r="G96" s="245">
        <v>0</v>
      </c>
      <c r="H96" s="245">
        <v>0</v>
      </c>
      <c r="I96" s="245">
        <v>0</v>
      </c>
      <c r="J96" s="245">
        <v>0</v>
      </c>
      <c r="K96" s="245">
        <v>0</v>
      </c>
      <c r="L96" s="245">
        <v>0</v>
      </c>
      <c r="M96" s="245">
        <v>0</v>
      </c>
      <c r="N96" s="279">
        <v>0</v>
      </c>
    </row>
    <row r="97" spans="2:28" x14ac:dyDescent="0.2">
      <c r="B97" s="259" t="s">
        <v>379</v>
      </c>
      <c r="C97" s="245">
        <v>0</v>
      </c>
      <c r="D97" s="245">
        <v>0</v>
      </c>
      <c r="E97" s="245">
        <v>0</v>
      </c>
      <c r="F97" s="245">
        <v>0</v>
      </c>
      <c r="G97" s="245">
        <v>0</v>
      </c>
      <c r="H97" s="245">
        <v>0</v>
      </c>
      <c r="I97" s="245">
        <v>0</v>
      </c>
      <c r="J97" s="245">
        <v>0</v>
      </c>
      <c r="K97" s="245">
        <v>0</v>
      </c>
      <c r="L97" s="245">
        <v>0</v>
      </c>
      <c r="M97" s="245">
        <v>0</v>
      </c>
      <c r="N97" s="253">
        <v>0</v>
      </c>
    </row>
    <row r="98" spans="2:28" ht="12" thickBot="1" x14ac:dyDescent="0.25">
      <c r="B98" s="259" t="s">
        <v>380</v>
      </c>
      <c r="C98" s="245">
        <v>0</v>
      </c>
      <c r="D98" s="245">
        <v>0</v>
      </c>
      <c r="E98" s="245">
        <v>0</v>
      </c>
      <c r="F98" s="245">
        <v>0</v>
      </c>
      <c r="G98" s="245">
        <v>0</v>
      </c>
      <c r="H98" s="245">
        <v>0</v>
      </c>
      <c r="I98" s="245">
        <v>0</v>
      </c>
      <c r="J98" s="245">
        <v>0</v>
      </c>
      <c r="K98" s="245">
        <v>0</v>
      </c>
      <c r="L98" s="245">
        <v>0</v>
      </c>
      <c r="M98" s="245">
        <v>0</v>
      </c>
      <c r="N98" s="248">
        <v>0</v>
      </c>
    </row>
    <row r="99" spans="2:28" ht="12" thickBot="1" x14ac:dyDescent="0.25">
      <c r="B99" s="257" t="s">
        <v>432</v>
      </c>
      <c r="C99" s="251">
        <v>0</v>
      </c>
      <c r="D99" s="255">
        <v>0</v>
      </c>
      <c r="E99" s="255">
        <v>0</v>
      </c>
      <c r="F99" s="255">
        <v>0</v>
      </c>
      <c r="G99" s="255">
        <v>0</v>
      </c>
      <c r="H99" s="255">
        <v>0</v>
      </c>
      <c r="I99" s="255">
        <v>0</v>
      </c>
      <c r="J99" s="255">
        <v>0</v>
      </c>
      <c r="K99" s="255">
        <v>0</v>
      </c>
      <c r="L99" s="255">
        <v>0</v>
      </c>
      <c r="M99" s="255">
        <v>0</v>
      </c>
      <c r="N99" s="255">
        <v>0</v>
      </c>
      <c r="O99" s="252">
        <v>0</v>
      </c>
    </row>
    <row r="100" spans="2:28" x14ac:dyDescent="0.2">
      <c r="B100" s="253" t="s">
        <v>433</v>
      </c>
      <c r="C100" s="243">
        <v>34</v>
      </c>
      <c r="D100" s="242">
        <v>35</v>
      </c>
      <c r="E100" s="242">
        <v>33</v>
      </c>
      <c r="F100" s="242">
        <v>32</v>
      </c>
      <c r="G100" s="242">
        <v>32</v>
      </c>
      <c r="H100" s="242">
        <v>32</v>
      </c>
      <c r="I100" s="242">
        <v>32</v>
      </c>
      <c r="J100" s="242">
        <v>32</v>
      </c>
      <c r="K100" s="242">
        <v>31</v>
      </c>
      <c r="L100" s="242">
        <v>31</v>
      </c>
      <c r="M100" s="242">
        <v>31</v>
      </c>
      <c r="N100" s="243">
        <v>31</v>
      </c>
    </row>
    <row r="101" spans="2:28" x14ac:dyDescent="0.2">
      <c r="B101" s="253" t="s">
        <v>434</v>
      </c>
      <c r="C101" s="246">
        <v>0</v>
      </c>
      <c r="D101" s="245">
        <v>0</v>
      </c>
      <c r="E101" s="245">
        <v>0</v>
      </c>
      <c r="F101" s="245">
        <v>0</v>
      </c>
      <c r="G101" s="245">
        <v>0</v>
      </c>
      <c r="H101" s="245">
        <v>0</v>
      </c>
      <c r="I101" s="245">
        <v>0</v>
      </c>
      <c r="J101" s="245">
        <v>0</v>
      </c>
      <c r="K101" s="245">
        <v>0</v>
      </c>
      <c r="L101" s="245">
        <v>0</v>
      </c>
      <c r="M101" s="245">
        <v>0</v>
      </c>
      <c r="N101" s="246">
        <v>0</v>
      </c>
    </row>
    <row r="102" spans="2:28" ht="12" thickBot="1" x14ac:dyDescent="0.25">
      <c r="B102" s="253" t="s">
        <v>435</v>
      </c>
      <c r="C102" s="248">
        <v>1</v>
      </c>
      <c r="D102" s="247">
        <v>1</v>
      </c>
      <c r="E102" s="247">
        <v>3</v>
      </c>
      <c r="F102" s="247">
        <v>3</v>
      </c>
      <c r="G102" s="247">
        <v>3</v>
      </c>
      <c r="H102" s="247">
        <v>3</v>
      </c>
      <c r="I102" s="247">
        <v>3</v>
      </c>
      <c r="J102" s="247">
        <v>2</v>
      </c>
      <c r="K102" s="247">
        <v>2</v>
      </c>
      <c r="L102" s="247">
        <v>2</v>
      </c>
      <c r="M102" s="247">
        <v>3</v>
      </c>
      <c r="N102" s="248">
        <v>3</v>
      </c>
    </row>
    <row r="103" spans="2:28" ht="12" thickBot="1" x14ac:dyDescent="0.25">
      <c r="B103" s="249" t="s">
        <v>436</v>
      </c>
      <c r="C103" s="251">
        <v>35</v>
      </c>
      <c r="D103" s="255">
        <v>36</v>
      </c>
      <c r="E103" s="255">
        <v>36</v>
      </c>
      <c r="F103" s="255">
        <v>35</v>
      </c>
      <c r="G103" s="255">
        <v>35</v>
      </c>
      <c r="H103" s="255">
        <v>35</v>
      </c>
      <c r="I103" s="255">
        <v>35</v>
      </c>
      <c r="J103" s="255">
        <v>34</v>
      </c>
      <c r="K103" s="255">
        <v>33</v>
      </c>
      <c r="L103" s="255">
        <v>33</v>
      </c>
      <c r="M103" s="255">
        <v>34</v>
      </c>
      <c r="N103" s="255">
        <v>34</v>
      </c>
      <c r="O103" s="252">
        <v>34.583333333333336</v>
      </c>
      <c r="P103" s="265" t="s">
        <v>437</v>
      </c>
      <c r="Q103" s="236">
        <v>34</v>
      </c>
      <c r="R103" s="236">
        <v>35</v>
      </c>
      <c r="S103" s="236">
        <v>33</v>
      </c>
      <c r="T103" s="236">
        <v>32</v>
      </c>
      <c r="U103" s="236">
        <v>32</v>
      </c>
      <c r="V103" s="236">
        <v>32</v>
      </c>
      <c r="W103" s="236">
        <v>32</v>
      </c>
      <c r="X103" s="236">
        <v>32</v>
      </c>
      <c r="Y103" s="236">
        <v>31</v>
      </c>
      <c r="Z103" s="236">
        <v>31</v>
      </c>
      <c r="AA103" s="236">
        <v>31</v>
      </c>
      <c r="AB103" s="236">
        <v>31</v>
      </c>
    </row>
    <row r="104" spans="2:28" x14ac:dyDescent="0.2">
      <c r="B104" s="270" t="s">
        <v>438</v>
      </c>
      <c r="C104" s="297">
        <v>34</v>
      </c>
      <c r="D104" s="268">
        <v>34.5</v>
      </c>
      <c r="E104" s="268">
        <v>34</v>
      </c>
      <c r="F104" s="268">
        <v>33.5</v>
      </c>
      <c r="G104" s="268">
        <v>33.200000000000003</v>
      </c>
      <c r="H104" s="268">
        <v>33</v>
      </c>
      <c r="I104" s="268">
        <v>32.857142857142854</v>
      </c>
      <c r="J104" s="268">
        <v>32.75</v>
      </c>
      <c r="K104" s="268">
        <v>32.555555555555557</v>
      </c>
      <c r="L104" s="268">
        <v>32.4</v>
      </c>
      <c r="M104" s="268">
        <v>32.272727272727273</v>
      </c>
      <c r="N104" s="268">
        <v>32.166666666666664</v>
      </c>
      <c r="P104" s="265" t="s">
        <v>439</v>
      </c>
      <c r="Q104" s="236">
        <v>0</v>
      </c>
      <c r="R104" s="236">
        <v>0</v>
      </c>
      <c r="S104" s="236">
        <v>0</v>
      </c>
      <c r="T104" s="236">
        <v>0</v>
      </c>
      <c r="U104" s="236">
        <v>0</v>
      </c>
      <c r="V104" s="236">
        <v>0</v>
      </c>
      <c r="W104" s="236">
        <v>0</v>
      </c>
      <c r="X104" s="236">
        <v>0</v>
      </c>
      <c r="Y104" s="236">
        <v>0</v>
      </c>
      <c r="Z104" s="236">
        <v>0</v>
      </c>
      <c r="AA104" s="236">
        <v>0</v>
      </c>
      <c r="AB104" s="236">
        <v>0</v>
      </c>
    </row>
    <row r="105" spans="2:28" x14ac:dyDescent="0.2">
      <c r="B105" s="270" t="s">
        <v>440</v>
      </c>
      <c r="C105" s="288">
        <v>0</v>
      </c>
      <c r="D105" s="272">
        <v>0</v>
      </c>
      <c r="E105" s="272">
        <v>0</v>
      </c>
      <c r="F105" s="272">
        <v>0</v>
      </c>
      <c r="G105" s="272">
        <v>0</v>
      </c>
      <c r="H105" s="272">
        <v>0</v>
      </c>
      <c r="I105" s="272">
        <v>0</v>
      </c>
      <c r="J105" s="272">
        <v>0</v>
      </c>
      <c r="K105" s="272">
        <v>0</v>
      </c>
      <c r="L105" s="272">
        <v>0</v>
      </c>
      <c r="M105" s="272">
        <v>0</v>
      </c>
      <c r="N105" s="272">
        <v>0</v>
      </c>
      <c r="P105" s="265" t="s">
        <v>441</v>
      </c>
      <c r="Q105" s="236">
        <v>1</v>
      </c>
      <c r="R105" s="236">
        <v>1</v>
      </c>
      <c r="S105" s="236">
        <v>3</v>
      </c>
      <c r="T105" s="236">
        <v>3</v>
      </c>
      <c r="U105" s="236">
        <v>3</v>
      </c>
      <c r="V105" s="236">
        <v>3</v>
      </c>
      <c r="W105" s="236">
        <v>3</v>
      </c>
      <c r="X105" s="236">
        <v>2</v>
      </c>
      <c r="Y105" s="236">
        <v>2</v>
      </c>
      <c r="Z105" s="236">
        <v>2</v>
      </c>
      <c r="AA105" s="236">
        <v>3</v>
      </c>
      <c r="AB105" s="236">
        <v>3</v>
      </c>
    </row>
    <row r="106" spans="2:28" ht="12" thickBot="1" x14ac:dyDescent="0.25">
      <c r="B106" s="270" t="s">
        <v>442</v>
      </c>
      <c r="C106" s="289">
        <v>1</v>
      </c>
      <c r="D106" s="272">
        <v>1</v>
      </c>
      <c r="E106" s="272">
        <v>1.6666666666666667</v>
      </c>
      <c r="F106" s="272">
        <v>2</v>
      </c>
      <c r="G106" s="272">
        <v>2.2000000000000002</v>
      </c>
      <c r="H106" s="273">
        <v>2.3333333333333335</v>
      </c>
      <c r="I106" s="273">
        <v>2.4285714285714284</v>
      </c>
      <c r="J106" s="273">
        <v>2.375</v>
      </c>
      <c r="K106" s="273">
        <v>2.3333333333333335</v>
      </c>
      <c r="L106" s="273">
        <v>2.2999999999999998</v>
      </c>
      <c r="M106" s="273">
        <v>2.3636363636363638</v>
      </c>
      <c r="N106" s="272">
        <v>2.4166666666666665</v>
      </c>
      <c r="P106" s="236" t="s">
        <v>443</v>
      </c>
      <c r="Q106" s="236">
        <v>34</v>
      </c>
      <c r="R106" s="236">
        <v>69</v>
      </c>
      <c r="S106" s="236">
        <v>102</v>
      </c>
      <c r="T106" s="236">
        <v>134</v>
      </c>
      <c r="U106" s="236">
        <v>166</v>
      </c>
      <c r="V106" s="236">
        <v>198</v>
      </c>
      <c r="W106" s="236">
        <v>230</v>
      </c>
      <c r="X106" s="236">
        <v>262</v>
      </c>
      <c r="Y106" s="236">
        <v>293</v>
      </c>
      <c r="Z106" s="236">
        <v>324</v>
      </c>
      <c r="AA106" s="236">
        <v>355</v>
      </c>
      <c r="AB106" s="236">
        <v>386</v>
      </c>
    </row>
    <row r="107" spans="2:28" ht="12" thickBot="1" x14ac:dyDescent="0.25">
      <c r="B107" s="274" t="s">
        <v>444</v>
      </c>
      <c r="C107" s="275">
        <v>35</v>
      </c>
      <c r="D107" s="275">
        <v>35.5</v>
      </c>
      <c r="E107" s="275">
        <v>35.666666666666664</v>
      </c>
      <c r="F107" s="275">
        <v>35.5</v>
      </c>
      <c r="G107" s="275">
        <v>35.400000000000006</v>
      </c>
      <c r="H107" s="275">
        <v>35.333333333333336</v>
      </c>
      <c r="I107" s="275">
        <v>35.285714285714285</v>
      </c>
      <c r="J107" s="275">
        <v>35.125</v>
      </c>
      <c r="K107" s="275">
        <v>34.888888888888893</v>
      </c>
      <c r="L107" s="275">
        <v>34.699999999999996</v>
      </c>
      <c r="M107" s="275">
        <v>34.63636363636364</v>
      </c>
      <c r="N107" s="275">
        <v>34.583333333333329</v>
      </c>
      <c r="O107" s="252"/>
      <c r="P107" s="236" t="s">
        <v>445</v>
      </c>
      <c r="Q107" s="236">
        <v>0</v>
      </c>
      <c r="R107" s="236">
        <v>0</v>
      </c>
      <c r="S107" s="236">
        <v>0</v>
      </c>
      <c r="T107" s="236">
        <v>0</v>
      </c>
      <c r="U107" s="236">
        <v>0</v>
      </c>
      <c r="V107" s="236">
        <v>0</v>
      </c>
      <c r="W107" s="236">
        <v>0</v>
      </c>
      <c r="X107" s="236">
        <v>0</v>
      </c>
      <c r="Y107" s="236">
        <v>0</v>
      </c>
      <c r="Z107" s="236">
        <v>0</v>
      </c>
      <c r="AA107" s="236">
        <v>0</v>
      </c>
      <c r="AB107" s="236">
        <v>0</v>
      </c>
    </row>
    <row r="108" spans="2:28" x14ac:dyDescent="0.2">
      <c r="P108" s="236" t="s">
        <v>446</v>
      </c>
      <c r="Q108" s="236">
        <v>1</v>
      </c>
      <c r="R108" s="236">
        <v>2</v>
      </c>
      <c r="S108" s="236">
        <v>5</v>
      </c>
      <c r="T108" s="236">
        <v>8</v>
      </c>
      <c r="U108" s="236">
        <v>11</v>
      </c>
      <c r="V108" s="236">
        <v>14</v>
      </c>
      <c r="W108" s="236">
        <v>17</v>
      </c>
      <c r="X108" s="236">
        <v>19</v>
      </c>
      <c r="Y108" s="236">
        <v>21</v>
      </c>
      <c r="Z108" s="236">
        <v>23</v>
      </c>
      <c r="AA108" s="236">
        <v>26</v>
      </c>
      <c r="AB108" s="236">
        <v>29</v>
      </c>
    </row>
    <row r="111" spans="2:28" x14ac:dyDescent="0.2">
      <c r="B111" s="290"/>
      <c r="C111" s="291"/>
    </row>
    <row r="112" spans="2:28" ht="12" thickBot="1" x14ac:dyDescent="0.25">
      <c r="B112" s="293"/>
      <c r="C112" s="291"/>
    </row>
    <row r="113" spans="1:15" ht="15.75" x14ac:dyDescent="0.25">
      <c r="B113" s="238" t="s">
        <v>9</v>
      </c>
      <c r="C113" s="768" t="s">
        <v>340</v>
      </c>
      <c r="D113" s="769"/>
      <c r="E113" s="769"/>
      <c r="F113" s="769"/>
      <c r="G113" s="769"/>
      <c r="H113" s="769"/>
      <c r="I113" s="769"/>
      <c r="J113" s="769"/>
      <c r="K113" s="769"/>
      <c r="L113" s="769"/>
      <c r="M113" s="769"/>
      <c r="N113" s="770"/>
    </row>
    <row r="114" spans="1:15" x14ac:dyDescent="0.2">
      <c r="B114" s="239"/>
      <c r="C114" s="771" t="s">
        <v>341</v>
      </c>
      <c r="D114" s="771" t="s">
        <v>342</v>
      </c>
      <c r="E114" s="771" t="s">
        <v>343</v>
      </c>
      <c r="F114" s="771" t="s">
        <v>344</v>
      </c>
      <c r="G114" s="771" t="s">
        <v>345</v>
      </c>
      <c r="H114" s="771" t="s">
        <v>346</v>
      </c>
      <c r="I114" s="771" t="s">
        <v>347</v>
      </c>
      <c r="J114" s="771" t="s">
        <v>348</v>
      </c>
      <c r="K114" s="771" t="s">
        <v>349</v>
      </c>
      <c r="L114" s="771" t="s">
        <v>350</v>
      </c>
      <c r="M114" s="771" t="s">
        <v>351</v>
      </c>
      <c r="N114" s="771" t="s">
        <v>352</v>
      </c>
    </row>
    <row r="115" spans="1:15" ht="12.75" thickBot="1" x14ac:dyDescent="0.25">
      <c r="A115" s="263"/>
      <c r="B115" s="240" t="s">
        <v>353</v>
      </c>
      <c r="C115" s="772"/>
      <c r="D115" s="772"/>
      <c r="E115" s="772"/>
      <c r="F115" s="772"/>
      <c r="G115" s="772"/>
      <c r="H115" s="772"/>
      <c r="I115" s="772"/>
      <c r="J115" s="772"/>
      <c r="K115" s="772"/>
      <c r="L115" s="772"/>
      <c r="M115" s="772"/>
      <c r="N115" s="772"/>
    </row>
    <row r="116" spans="1:15" x14ac:dyDescent="0.2">
      <c r="B116" s="279" t="s">
        <v>447</v>
      </c>
      <c r="C116" s="245">
        <v>140</v>
      </c>
      <c r="D116" s="245">
        <v>140</v>
      </c>
      <c r="E116" s="245">
        <v>139</v>
      </c>
      <c r="F116" s="245">
        <v>140</v>
      </c>
      <c r="G116" s="245">
        <v>141</v>
      </c>
      <c r="H116" s="245">
        <v>141</v>
      </c>
      <c r="I116" s="245">
        <v>141</v>
      </c>
      <c r="J116" s="245">
        <v>142</v>
      </c>
      <c r="K116" s="245">
        <v>142</v>
      </c>
      <c r="L116" s="245">
        <v>141</v>
      </c>
      <c r="M116" s="245">
        <v>141</v>
      </c>
      <c r="N116" s="279">
        <v>155</v>
      </c>
    </row>
    <row r="117" spans="1:15" x14ac:dyDescent="0.2">
      <c r="B117" s="253" t="s">
        <v>448</v>
      </c>
      <c r="C117" s="245">
        <v>22</v>
      </c>
      <c r="D117" s="245">
        <v>22</v>
      </c>
      <c r="E117" s="245">
        <v>21</v>
      </c>
      <c r="F117" s="245">
        <v>22</v>
      </c>
      <c r="G117" s="245">
        <v>21</v>
      </c>
      <c r="H117" s="245">
        <v>21</v>
      </c>
      <c r="I117" s="245">
        <v>19</v>
      </c>
      <c r="J117" s="245">
        <v>18</v>
      </c>
      <c r="K117" s="245">
        <v>16</v>
      </c>
      <c r="L117" s="245">
        <v>15</v>
      </c>
      <c r="M117" s="245">
        <v>15</v>
      </c>
      <c r="N117" s="253">
        <v>14</v>
      </c>
    </row>
    <row r="118" spans="1:15" ht="12" thickBot="1" x14ac:dyDescent="0.25">
      <c r="B118" s="253" t="s">
        <v>449</v>
      </c>
      <c r="C118" s="245">
        <v>45</v>
      </c>
      <c r="D118" s="245">
        <v>50</v>
      </c>
      <c r="E118" s="245">
        <v>49</v>
      </c>
      <c r="F118" s="245">
        <v>50</v>
      </c>
      <c r="G118" s="245">
        <v>49</v>
      </c>
      <c r="H118" s="245">
        <v>53</v>
      </c>
      <c r="I118" s="245">
        <v>54</v>
      </c>
      <c r="J118" s="245">
        <v>53</v>
      </c>
      <c r="K118" s="245">
        <v>52</v>
      </c>
      <c r="L118" s="245">
        <v>50</v>
      </c>
      <c r="M118" s="245">
        <v>50</v>
      </c>
      <c r="N118" s="248">
        <v>33</v>
      </c>
    </row>
    <row r="119" spans="1:15" ht="12" thickBot="1" x14ac:dyDescent="0.25">
      <c r="B119" s="249" t="s">
        <v>450</v>
      </c>
      <c r="C119" s="251">
        <v>188.3</v>
      </c>
      <c r="D119" s="255">
        <v>193.3</v>
      </c>
      <c r="E119" s="255">
        <v>191.15</v>
      </c>
      <c r="F119" s="255">
        <v>193.3</v>
      </c>
      <c r="G119" s="255">
        <v>193.15</v>
      </c>
      <c r="H119" s="255">
        <v>197.15</v>
      </c>
      <c r="I119" s="255">
        <v>197.85</v>
      </c>
      <c r="J119" s="255">
        <v>197.7</v>
      </c>
      <c r="K119" s="255">
        <v>196.4</v>
      </c>
      <c r="L119" s="255">
        <v>193.25</v>
      </c>
      <c r="M119" s="255">
        <v>193.25</v>
      </c>
      <c r="N119" s="255">
        <v>190.1</v>
      </c>
      <c r="O119" s="252">
        <v>193.74166666666667</v>
      </c>
    </row>
    <row r="120" spans="1:15" x14ac:dyDescent="0.2">
      <c r="B120" s="259" t="s">
        <v>409</v>
      </c>
      <c r="C120" s="245">
        <v>5</v>
      </c>
      <c r="D120" s="245">
        <v>5</v>
      </c>
      <c r="E120" s="245">
        <v>5</v>
      </c>
      <c r="F120" s="245">
        <v>5</v>
      </c>
      <c r="G120" s="245">
        <v>5</v>
      </c>
      <c r="H120" s="245">
        <v>5</v>
      </c>
      <c r="I120" s="245">
        <v>5</v>
      </c>
      <c r="J120" s="245">
        <v>6</v>
      </c>
      <c r="K120" s="245">
        <v>6</v>
      </c>
      <c r="L120" s="245">
        <v>6</v>
      </c>
      <c r="M120" s="245">
        <v>6</v>
      </c>
      <c r="N120" s="279">
        <v>6</v>
      </c>
    </row>
    <row r="121" spans="1:15" x14ac:dyDescent="0.2">
      <c r="B121" s="259" t="s">
        <v>410</v>
      </c>
      <c r="C121" s="245">
        <v>0</v>
      </c>
      <c r="D121" s="245">
        <v>0</v>
      </c>
      <c r="E121" s="245">
        <v>0</v>
      </c>
      <c r="F121" s="245">
        <v>0</v>
      </c>
      <c r="G121" s="245">
        <v>0</v>
      </c>
      <c r="H121" s="245">
        <v>0</v>
      </c>
      <c r="I121" s="245">
        <v>0</v>
      </c>
      <c r="J121" s="245">
        <v>0</v>
      </c>
      <c r="K121" s="245">
        <v>0</v>
      </c>
      <c r="L121" s="245">
        <v>0</v>
      </c>
      <c r="M121" s="245">
        <v>0</v>
      </c>
      <c r="N121" s="253">
        <v>0</v>
      </c>
    </row>
    <row r="122" spans="1:15" ht="12" thickBot="1" x14ac:dyDescent="0.25">
      <c r="B122" s="259" t="s">
        <v>411</v>
      </c>
      <c r="C122" s="245">
        <v>1</v>
      </c>
      <c r="D122" s="245">
        <v>1</v>
      </c>
      <c r="E122" s="245">
        <v>1</v>
      </c>
      <c r="F122" s="245">
        <v>1</v>
      </c>
      <c r="G122" s="245">
        <v>1</v>
      </c>
      <c r="H122" s="245">
        <v>1</v>
      </c>
      <c r="I122" s="245">
        <v>1</v>
      </c>
      <c r="J122" s="245">
        <v>0</v>
      </c>
      <c r="K122" s="245">
        <v>0</v>
      </c>
      <c r="L122" s="245">
        <v>0</v>
      </c>
      <c r="M122" s="245">
        <v>0</v>
      </c>
      <c r="N122" s="248">
        <v>0</v>
      </c>
    </row>
    <row r="123" spans="1:15" ht="12" thickBot="1" x14ac:dyDescent="0.25">
      <c r="B123" s="257" t="s">
        <v>451</v>
      </c>
      <c r="C123" s="251">
        <v>6</v>
      </c>
      <c r="D123" s="255">
        <v>6</v>
      </c>
      <c r="E123" s="255">
        <v>6</v>
      </c>
      <c r="F123" s="255">
        <v>6</v>
      </c>
      <c r="G123" s="255">
        <v>6</v>
      </c>
      <c r="H123" s="255">
        <v>6</v>
      </c>
      <c r="I123" s="255">
        <v>6</v>
      </c>
      <c r="J123" s="255">
        <v>6</v>
      </c>
      <c r="K123" s="255">
        <v>6</v>
      </c>
      <c r="L123" s="255">
        <v>6</v>
      </c>
      <c r="M123" s="255">
        <v>6</v>
      </c>
      <c r="N123" s="255">
        <v>6</v>
      </c>
      <c r="O123" s="252">
        <v>6</v>
      </c>
    </row>
    <row r="124" spans="1:15" x14ac:dyDescent="0.2">
      <c r="B124" s="296" t="s">
        <v>378</v>
      </c>
      <c r="C124" s="245">
        <v>2</v>
      </c>
      <c r="D124" s="245">
        <v>2</v>
      </c>
      <c r="E124" s="245">
        <v>2</v>
      </c>
      <c r="F124" s="245">
        <v>2</v>
      </c>
      <c r="G124" s="245">
        <v>2</v>
      </c>
      <c r="H124" s="245">
        <v>2</v>
      </c>
      <c r="I124" s="245">
        <v>2</v>
      </c>
      <c r="J124" s="245">
        <v>2</v>
      </c>
      <c r="K124" s="245">
        <v>2</v>
      </c>
      <c r="L124" s="245">
        <v>2</v>
      </c>
      <c r="M124" s="245">
        <v>2</v>
      </c>
      <c r="N124" s="279">
        <v>2</v>
      </c>
    </row>
    <row r="125" spans="1:15" x14ac:dyDescent="0.2">
      <c r="B125" s="259" t="s">
        <v>379</v>
      </c>
      <c r="C125" s="245">
        <v>0</v>
      </c>
      <c r="D125" s="245">
        <v>0</v>
      </c>
      <c r="E125" s="245">
        <v>0</v>
      </c>
      <c r="F125" s="245">
        <v>0</v>
      </c>
      <c r="G125" s="245">
        <v>0</v>
      </c>
      <c r="H125" s="245">
        <v>0</v>
      </c>
      <c r="I125" s="245">
        <v>0</v>
      </c>
      <c r="J125" s="245">
        <v>0</v>
      </c>
      <c r="K125" s="245">
        <v>0</v>
      </c>
      <c r="L125" s="245">
        <v>0</v>
      </c>
      <c r="M125" s="245">
        <v>0</v>
      </c>
      <c r="N125" s="253">
        <v>0</v>
      </c>
    </row>
    <row r="126" spans="1:15" ht="12" thickBot="1" x14ac:dyDescent="0.25">
      <c r="B126" s="259" t="s">
        <v>380</v>
      </c>
      <c r="C126" s="245">
        <v>0</v>
      </c>
      <c r="D126" s="245">
        <v>0</v>
      </c>
      <c r="E126" s="245">
        <v>0</v>
      </c>
      <c r="F126" s="245">
        <v>0</v>
      </c>
      <c r="G126" s="245">
        <v>0</v>
      </c>
      <c r="H126" s="245">
        <v>0</v>
      </c>
      <c r="I126" s="245">
        <v>0</v>
      </c>
      <c r="J126" s="245">
        <v>0</v>
      </c>
      <c r="K126" s="245">
        <v>0</v>
      </c>
      <c r="L126" s="245">
        <v>0</v>
      </c>
      <c r="M126" s="245">
        <v>0</v>
      </c>
      <c r="N126" s="248">
        <v>0</v>
      </c>
    </row>
    <row r="127" spans="1:15" ht="12" thickBot="1" x14ac:dyDescent="0.25">
      <c r="B127" s="257" t="s">
        <v>452</v>
      </c>
      <c r="C127" s="251">
        <v>2</v>
      </c>
      <c r="D127" s="255">
        <v>2</v>
      </c>
      <c r="E127" s="255">
        <v>2</v>
      </c>
      <c r="F127" s="255">
        <v>2</v>
      </c>
      <c r="G127" s="255">
        <v>2</v>
      </c>
      <c r="H127" s="255">
        <v>2</v>
      </c>
      <c r="I127" s="255">
        <v>2</v>
      </c>
      <c r="J127" s="255">
        <v>2</v>
      </c>
      <c r="K127" s="255">
        <v>2</v>
      </c>
      <c r="L127" s="255">
        <v>2</v>
      </c>
      <c r="M127" s="255">
        <v>2</v>
      </c>
      <c r="N127" s="255">
        <v>2</v>
      </c>
      <c r="O127" s="252">
        <v>2</v>
      </c>
    </row>
    <row r="128" spans="1:15" x14ac:dyDescent="0.2">
      <c r="B128" s="296" t="s">
        <v>382</v>
      </c>
      <c r="C128" s="245">
        <v>6</v>
      </c>
      <c r="D128" s="245">
        <v>6</v>
      </c>
      <c r="E128" s="245">
        <v>6</v>
      </c>
      <c r="F128" s="245">
        <v>6</v>
      </c>
      <c r="G128" s="245">
        <v>6</v>
      </c>
      <c r="H128" s="245">
        <v>6</v>
      </c>
      <c r="I128" s="245">
        <v>6</v>
      </c>
      <c r="J128" s="245">
        <v>6</v>
      </c>
      <c r="K128" s="245">
        <v>6</v>
      </c>
      <c r="L128" s="245">
        <v>6</v>
      </c>
      <c r="M128" s="245">
        <v>6</v>
      </c>
      <c r="N128" s="279">
        <v>7</v>
      </c>
    </row>
    <row r="129" spans="1:28" x14ac:dyDescent="0.2">
      <c r="B129" s="259" t="s">
        <v>383</v>
      </c>
      <c r="C129" s="245">
        <v>0</v>
      </c>
      <c r="D129" s="245">
        <v>0</v>
      </c>
      <c r="E129" s="245">
        <v>0</v>
      </c>
      <c r="F129" s="245">
        <v>0</v>
      </c>
      <c r="G129" s="245">
        <v>0</v>
      </c>
      <c r="H129" s="245">
        <v>0</v>
      </c>
      <c r="I129" s="245">
        <v>0</v>
      </c>
      <c r="J129" s="245">
        <v>0</v>
      </c>
      <c r="K129" s="245">
        <v>0</v>
      </c>
      <c r="L129" s="245">
        <v>0</v>
      </c>
      <c r="M129" s="245">
        <v>0</v>
      </c>
      <c r="N129" s="253">
        <v>0</v>
      </c>
    </row>
    <row r="130" spans="1:28" ht="12" thickBot="1" x14ac:dyDescent="0.25">
      <c r="B130" s="259" t="s">
        <v>384</v>
      </c>
      <c r="C130" s="245">
        <v>3</v>
      </c>
      <c r="D130" s="245">
        <v>3</v>
      </c>
      <c r="E130" s="245">
        <v>3</v>
      </c>
      <c r="F130" s="245">
        <v>3</v>
      </c>
      <c r="G130" s="245">
        <v>3</v>
      </c>
      <c r="H130" s="245">
        <v>6</v>
      </c>
      <c r="I130" s="245">
        <v>6</v>
      </c>
      <c r="J130" s="245">
        <v>6</v>
      </c>
      <c r="K130" s="245">
        <v>6</v>
      </c>
      <c r="L130" s="245">
        <v>5</v>
      </c>
      <c r="M130" s="245">
        <v>3</v>
      </c>
      <c r="N130" s="248">
        <v>2</v>
      </c>
    </row>
    <row r="131" spans="1:28" ht="12" thickBot="1" x14ac:dyDescent="0.25">
      <c r="B131" s="257" t="s">
        <v>453</v>
      </c>
      <c r="C131" s="251">
        <v>9</v>
      </c>
      <c r="D131" s="251">
        <v>9</v>
      </c>
      <c r="E131" s="251">
        <v>9</v>
      </c>
      <c r="F131" s="251">
        <v>9</v>
      </c>
      <c r="G131" s="251">
        <v>9</v>
      </c>
      <c r="H131" s="251">
        <v>12</v>
      </c>
      <c r="I131" s="251">
        <v>12</v>
      </c>
      <c r="J131" s="251">
        <v>12</v>
      </c>
      <c r="K131" s="251">
        <v>12</v>
      </c>
      <c r="L131" s="251">
        <v>11</v>
      </c>
      <c r="M131" s="251">
        <v>9</v>
      </c>
      <c r="N131" s="251">
        <v>9</v>
      </c>
      <c r="O131" s="252">
        <v>10.166666666666666</v>
      </c>
    </row>
    <row r="132" spans="1:28" x14ac:dyDescent="0.2">
      <c r="B132" s="259" t="s">
        <v>454</v>
      </c>
      <c r="C132" s="243">
        <v>153</v>
      </c>
      <c r="D132" s="243">
        <v>153</v>
      </c>
      <c r="E132" s="243">
        <v>152</v>
      </c>
      <c r="F132" s="243">
        <v>153</v>
      </c>
      <c r="G132" s="243">
        <v>154</v>
      </c>
      <c r="H132" s="243">
        <v>154</v>
      </c>
      <c r="I132" s="243">
        <v>154</v>
      </c>
      <c r="J132" s="243">
        <v>156</v>
      </c>
      <c r="K132" s="243">
        <v>156</v>
      </c>
      <c r="L132" s="243">
        <v>155</v>
      </c>
      <c r="M132" s="243">
        <v>155</v>
      </c>
      <c r="N132" s="243">
        <v>170</v>
      </c>
    </row>
    <row r="133" spans="1:28" x14ac:dyDescent="0.2">
      <c r="B133" s="259" t="s">
        <v>455</v>
      </c>
      <c r="C133" s="253">
        <v>22</v>
      </c>
      <c r="D133" s="253">
        <v>22</v>
      </c>
      <c r="E133" s="253">
        <v>21</v>
      </c>
      <c r="F133" s="253">
        <v>22</v>
      </c>
      <c r="G133" s="253">
        <v>21</v>
      </c>
      <c r="H133" s="253">
        <v>21</v>
      </c>
      <c r="I133" s="253">
        <v>19</v>
      </c>
      <c r="J133" s="253">
        <v>18</v>
      </c>
      <c r="K133" s="253">
        <v>16</v>
      </c>
      <c r="L133" s="253">
        <v>15</v>
      </c>
      <c r="M133" s="253">
        <v>15</v>
      </c>
      <c r="N133" s="253">
        <v>14</v>
      </c>
    </row>
    <row r="134" spans="1:28" ht="12" thickBot="1" x14ac:dyDescent="0.25">
      <c r="B134" s="259" t="s">
        <v>456</v>
      </c>
      <c r="C134" s="298">
        <v>49</v>
      </c>
      <c r="D134" s="298">
        <v>54</v>
      </c>
      <c r="E134" s="298">
        <v>53</v>
      </c>
      <c r="F134" s="298">
        <v>54</v>
      </c>
      <c r="G134" s="298">
        <v>53</v>
      </c>
      <c r="H134" s="298">
        <v>60</v>
      </c>
      <c r="I134" s="298">
        <v>61</v>
      </c>
      <c r="J134" s="298">
        <v>59</v>
      </c>
      <c r="K134" s="298">
        <v>58</v>
      </c>
      <c r="L134" s="298">
        <v>55</v>
      </c>
      <c r="M134" s="298">
        <v>53</v>
      </c>
      <c r="N134" s="298">
        <v>35</v>
      </c>
    </row>
    <row r="135" spans="1:28" ht="12" thickBot="1" x14ac:dyDescent="0.25">
      <c r="B135" s="257" t="s">
        <v>457</v>
      </c>
      <c r="C135" s="251">
        <v>205.3</v>
      </c>
      <c r="D135" s="251">
        <v>210.3</v>
      </c>
      <c r="E135" s="251">
        <v>208.15</v>
      </c>
      <c r="F135" s="251">
        <v>210.3</v>
      </c>
      <c r="G135" s="251">
        <v>210.15</v>
      </c>
      <c r="H135" s="251">
        <v>217.15</v>
      </c>
      <c r="I135" s="251">
        <v>217.85</v>
      </c>
      <c r="J135" s="251">
        <v>217.7</v>
      </c>
      <c r="K135" s="251">
        <v>216.4</v>
      </c>
      <c r="L135" s="251">
        <v>212.25</v>
      </c>
      <c r="M135" s="251">
        <v>210.25</v>
      </c>
      <c r="N135" s="251">
        <v>207.1</v>
      </c>
      <c r="O135" s="252">
        <v>211.90833333333333</v>
      </c>
      <c r="P135" s="265" t="s">
        <v>458</v>
      </c>
      <c r="Q135" s="236">
        <v>153</v>
      </c>
      <c r="R135" s="236">
        <v>153</v>
      </c>
      <c r="S135" s="236">
        <v>152</v>
      </c>
      <c r="T135" s="236">
        <v>153</v>
      </c>
      <c r="U135" s="236">
        <v>154</v>
      </c>
      <c r="V135" s="236">
        <v>154</v>
      </c>
      <c r="W135" s="236">
        <v>154</v>
      </c>
      <c r="X135" s="236">
        <v>156</v>
      </c>
      <c r="Y135" s="236">
        <v>156</v>
      </c>
      <c r="Z135" s="236">
        <v>155</v>
      </c>
      <c r="AA135" s="236">
        <v>155</v>
      </c>
      <c r="AB135" s="236">
        <v>170</v>
      </c>
    </row>
    <row r="136" spans="1:28" x14ac:dyDescent="0.2">
      <c r="B136" s="270" t="s">
        <v>459</v>
      </c>
      <c r="C136" s="299">
        <v>153</v>
      </c>
      <c r="D136" s="268">
        <v>153</v>
      </c>
      <c r="E136" s="268">
        <v>152.66666666666666</v>
      </c>
      <c r="F136" s="268">
        <v>152.75</v>
      </c>
      <c r="G136" s="268">
        <v>153</v>
      </c>
      <c r="H136" s="268">
        <v>153.16666666666666</v>
      </c>
      <c r="I136" s="268">
        <v>153.28571428571428</v>
      </c>
      <c r="J136" s="268">
        <v>153.625</v>
      </c>
      <c r="K136" s="268">
        <v>153.88888888888889</v>
      </c>
      <c r="L136" s="268">
        <v>154</v>
      </c>
      <c r="M136" s="268">
        <v>154.09090909090909</v>
      </c>
      <c r="N136" s="268">
        <v>155.41666666666666</v>
      </c>
      <c r="P136" s="265" t="s">
        <v>460</v>
      </c>
      <c r="Q136" s="236">
        <v>22</v>
      </c>
      <c r="R136" s="236">
        <v>22</v>
      </c>
      <c r="S136" s="236">
        <v>21</v>
      </c>
      <c r="T136" s="236">
        <v>22</v>
      </c>
      <c r="U136" s="236">
        <v>21</v>
      </c>
      <c r="V136" s="236">
        <v>21</v>
      </c>
      <c r="W136" s="236">
        <v>19</v>
      </c>
      <c r="X136" s="236">
        <v>18</v>
      </c>
      <c r="Y136" s="236">
        <v>16</v>
      </c>
      <c r="Z136" s="236">
        <v>15</v>
      </c>
      <c r="AA136" s="236">
        <v>15</v>
      </c>
      <c r="AB136" s="236">
        <v>14</v>
      </c>
    </row>
    <row r="137" spans="1:28" x14ac:dyDescent="0.2">
      <c r="B137" s="270" t="s">
        <v>461</v>
      </c>
      <c r="C137" s="271">
        <v>22</v>
      </c>
      <c r="D137" s="272">
        <v>22</v>
      </c>
      <c r="E137" s="272">
        <v>21.666666666666668</v>
      </c>
      <c r="F137" s="272">
        <v>21.75</v>
      </c>
      <c r="G137" s="272">
        <v>21.6</v>
      </c>
      <c r="H137" s="272">
        <v>21.5</v>
      </c>
      <c r="I137" s="272">
        <v>21.142857142857142</v>
      </c>
      <c r="J137" s="272">
        <v>20.75</v>
      </c>
      <c r="K137" s="272">
        <v>20.222222222222221</v>
      </c>
      <c r="L137" s="272">
        <v>19.7</v>
      </c>
      <c r="M137" s="272">
        <v>19.272727272727273</v>
      </c>
      <c r="N137" s="272">
        <v>18.833333333333332</v>
      </c>
      <c r="P137" s="265" t="s">
        <v>462</v>
      </c>
      <c r="Q137" s="236">
        <v>49</v>
      </c>
      <c r="R137" s="236">
        <v>54</v>
      </c>
      <c r="S137" s="236">
        <v>53</v>
      </c>
      <c r="T137" s="236">
        <v>54</v>
      </c>
      <c r="U137" s="236">
        <v>53</v>
      </c>
      <c r="V137" s="236">
        <v>60</v>
      </c>
      <c r="W137" s="236">
        <v>61</v>
      </c>
      <c r="X137" s="236">
        <v>59</v>
      </c>
      <c r="Y137" s="236">
        <v>58</v>
      </c>
      <c r="Z137" s="236">
        <v>55</v>
      </c>
      <c r="AA137" s="236">
        <v>53</v>
      </c>
      <c r="AB137" s="236">
        <v>35</v>
      </c>
    </row>
    <row r="138" spans="1:28" ht="12" thickBot="1" x14ac:dyDescent="0.25">
      <c r="B138" s="270" t="s">
        <v>463</v>
      </c>
      <c r="C138" s="300">
        <v>49</v>
      </c>
      <c r="D138" s="272">
        <v>51.5</v>
      </c>
      <c r="E138" s="272">
        <v>52</v>
      </c>
      <c r="F138" s="272">
        <v>52.5</v>
      </c>
      <c r="G138" s="272">
        <v>52.6</v>
      </c>
      <c r="H138" s="273">
        <v>53.833333333333336</v>
      </c>
      <c r="I138" s="273">
        <v>54.857142857142854</v>
      </c>
      <c r="J138" s="273">
        <v>55.375</v>
      </c>
      <c r="K138" s="273">
        <v>55.666666666666664</v>
      </c>
      <c r="L138" s="273">
        <v>55.6</v>
      </c>
      <c r="M138" s="273">
        <v>55.363636363636367</v>
      </c>
      <c r="N138" s="272">
        <v>53.666666666666664</v>
      </c>
      <c r="P138" s="236" t="s">
        <v>464</v>
      </c>
      <c r="Q138" s="236">
        <v>153</v>
      </c>
      <c r="R138" s="236">
        <v>306</v>
      </c>
      <c r="S138" s="236">
        <v>458</v>
      </c>
      <c r="T138" s="236">
        <v>611</v>
      </c>
      <c r="U138" s="236">
        <v>765</v>
      </c>
      <c r="V138" s="236">
        <v>919</v>
      </c>
      <c r="W138" s="236">
        <v>1073</v>
      </c>
      <c r="X138" s="236">
        <v>1229</v>
      </c>
      <c r="Y138" s="236">
        <v>1385</v>
      </c>
      <c r="Z138" s="236">
        <v>1540</v>
      </c>
      <c r="AA138" s="236">
        <v>1695</v>
      </c>
      <c r="AB138" s="236">
        <v>1865</v>
      </c>
    </row>
    <row r="139" spans="1:28" ht="12" thickBot="1" x14ac:dyDescent="0.25">
      <c r="B139" s="274" t="s">
        <v>465</v>
      </c>
      <c r="C139" s="275">
        <v>205.3</v>
      </c>
      <c r="D139" s="275">
        <v>207.8</v>
      </c>
      <c r="E139" s="275">
        <v>207.91666666666666</v>
      </c>
      <c r="F139" s="275">
        <v>208.51249999999999</v>
      </c>
      <c r="G139" s="275">
        <v>208.84</v>
      </c>
      <c r="H139" s="275">
        <v>210.22499999999999</v>
      </c>
      <c r="I139" s="275">
        <v>211.31428571428572</v>
      </c>
      <c r="J139" s="275">
        <v>212.11250000000001</v>
      </c>
      <c r="K139" s="275">
        <v>212.58888888888887</v>
      </c>
      <c r="L139" s="275">
        <v>212.55500000000001</v>
      </c>
      <c r="M139" s="275">
        <v>212.34545454545457</v>
      </c>
      <c r="N139" s="275">
        <v>211.9083333333333</v>
      </c>
      <c r="P139" s="236" t="s">
        <v>466</v>
      </c>
      <c r="Q139" s="236">
        <v>22</v>
      </c>
      <c r="R139" s="236">
        <v>44</v>
      </c>
      <c r="S139" s="236">
        <v>65</v>
      </c>
      <c r="T139" s="236">
        <v>87</v>
      </c>
      <c r="U139" s="236">
        <v>108</v>
      </c>
      <c r="V139" s="236">
        <v>129</v>
      </c>
      <c r="W139" s="236">
        <v>148</v>
      </c>
      <c r="X139" s="236">
        <v>166</v>
      </c>
      <c r="Y139" s="236">
        <v>182</v>
      </c>
      <c r="Z139" s="236">
        <v>197</v>
      </c>
      <c r="AA139" s="236">
        <v>212</v>
      </c>
      <c r="AB139" s="236">
        <v>226</v>
      </c>
    </row>
    <row r="140" spans="1:28" x14ac:dyDescent="0.2">
      <c r="P140" s="236" t="s">
        <v>467</v>
      </c>
      <c r="Q140" s="236">
        <v>49</v>
      </c>
      <c r="R140" s="236">
        <v>103</v>
      </c>
      <c r="S140" s="236">
        <v>156</v>
      </c>
      <c r="T140" s="236">
        <v>210</v>
      </c>
      <c r="U140" s="236">
        <v>263</v>
      </c>
      <c r="V140" s="236">
        <v>323</v>
      </c>
      <c r="W140" s="236">
        <v>384</v>
      </c>
      <c r="X140" s="236">
        <v>443</v>
      </c>
      <c r="Y140" s="236">
        <v>501</v>
      </c>
      <c r="Z140" s="236">
        <v>556</v>
      </c>
      <c r="AA140" s="236">
        <v>609</v>
      </c>
      <c r="AB140" s="236">
        <v>644</v>
      </c>
    </row>
    <row r="141" spans="1:28" x14ac:dyDescent="0.2">
      <c r="D141" s="295"/>
      <c r="E141" s="295"/>
      <c r="F141" s="295"/>
      <c r="G141" s="295"/>
      <c r="H141" s="295"/>
      <c r="I141" s="295"/>
      <c r="J141" s="295"/>
      <c r="K141" s="295"/>
      <c r="L141" s="295"/>
      <c r="M141" s="295"/>
      <c r="N141" s="295"/>
    </row>
    <row r="142" spans="1:28" ht="12" thickBot="1" x14ac:dyDescent="0.25"/>
    <row r="143" spans="1:28" ht="15.75" x14ac:dyDescent="0.25">
      <c r="B143" s="277" t="s">
        <v>468</v>
      </c>
      <c r="C143" s="768" t="s">
        <v>340</v>
      </c>
      <c r="D143" s="769"/>
      <c r="E143" s="769"/>
      <c r="F143" s="769"/>
      <c r="G143" s="769"/>
      <c r="H143" s="769"/>
      <c r="I143" s="769"/>
      <c r="J143" s="769"/>
      <c r="K143" s="769"/>
      <c r="L143" s="769"/>
      <c r="M143" s="769"/>
      <c r="N143" s="770"/>
    </row>
    <row r="144" spans="1:28" s="295" customFormat="1" x14ac:dyDescent="0.2">
      <c r="A144" s="236"/>
      <c r="B144" s="278"/>
      <c r="C144" s="771" t="s">
        <v>341</v>
      </c>
      <c r="D144" s="771" t="s">
        <v>342</v>
      </c>
      <c r="E144" s="771" t="s">
        <v>343</v>
      </c>
      <c r="F144" s="771" t="s">
        <v>344</v>
      </c>
      <c r="G144" s="771" t="s">
        <v>345</v>
      </c>
      <c r="H144" s="771" t="s">
        <v>346</v>
      </c>
      <c r="I144" s="771" t="s">
        <v>347</v>
      </c>
      <c r="J144" s="771" t="s">
        <v>348</v>
      </c>
      <c r="K144" s="771" t="s">
        <v>349</v>
      </c>
      <c r="L144" s="771" t="s">
        <v>350</v>
      </c>
      <c r="M144" s="771" t="s">
        <v>351</v>
      </c>
      <c r="N144" s="771" t="s">
        <v>352</v>
      </c>
    </row>
    <row r="145" spans="1:28" ht="12.75" thickBot="1" x14ac:dyDescent="0.25">
      <c r="B145" s="240" t="s">
        <v>353</v>
      </c>
      <c r="C145" s="772"/>
      <c r="D145" s="772"/>
      <c r="E145" s="772"/>
      <c r="F145" s="772"/>
      <c r="G145" s="772"/>
      <c r="H145" s="772"/>
      <c r="I145" s="772"/>
      <c r="J145" s="772"/>
      <c r="K145" s="772"/>
      <c r="L145" s="772"/>
      <c r="M145" s="772"/>
      <c r="N145" s="772"/>
    </row>
    <row r="146" spans="1:28" x14ac:dyDescent="0.2">
      <c r="A146" s="295"/>
      <c r="B146" s="253" t="s">
        <v>469</v>
      </c>
      <c r="C146" s="245">
        <v>2</v>
      </c>
      <c r="D146" s="245">
        <v>2</v>
      </c>
      <c r="E146" s="245">
        <v>2</v>
      </c>
      <c r="F146" s="245">
        <v>2</v>
      </c>
      <c r="G146" s="245">
        <v>2</v>
      </c>
      <c r="H146" s="245">
        <v>2</v>
      </c>
      <c r="I146" s="245">
        <v>2</v>
      </c>
      <c r="J146" s="245">
        <v>2</v>
      </c>
      <c r="K146" s="245">
        <v>2</v>
      </c>
      <c r="L146" s="245">
        <v>2</v>
      </c>
      <c r="M146" s="245">
        <v>2</v>
      </c>
      <c r="N146" s="279">
        <v>2</v>
      </c>
    </row>
    <row r="147" spans="1:28" ht="12" thickBot="1" x14ac:dyDescent="0.25">
      <c r="B147" s="253" t="s">
        <v>470</v>
      </c>
      <c r="C147" s="245">
        <v>0</v>
      </c>
      <c r="D147" s="245">
        <v>0</v>
      </c>
      <c r="E147" s="245">
        <v>0</v>
      </c>
      <c r="F147" s="245">
        <v>0</v>
      </c>
      <c r="G147" s="245">
        <v>0</v>
      </c>
      <c r="H147" s="245">
        <v>0</v>
      </c>
      <c r="I147" s="245">
        <v>0</v>
      </c>
      <c r="J147" s="245">
        <v>0</v>
      </c>
      <c r="K147" s="245">
        <v>0</v>
      </c>
      <c r="L147" s="245">
        <v>0</v>
      </c>
      <c r="M147" s="245">
        <v>0</v>
      </c>
      <c r="N147" s="248">
        <v>0</v>
      </c>
    </row>
    <row r="148" spans="1:28" ht="12" thickBot="1" x14ac:dyDescent="0.25">
      <c r="B148" s="249" t="s">
        <v>471</v>
      </c>
      <c r="C148" s="251">
        <v>2</v>
      </c>
      <c r="D148" s="255">
        <v>2</v>
      </c>
      <c r="E148" s="255">
        <v>2</v>
      </c>
      <c r="F148" s="255">
        <v>2</v>
      </c>
      <c r="G148" s="255">
        <v>2</v>
      </c>
      <c r="H148" s="255">
        <v>2</v>
      </c>
      <c r="I148" s="255">
        <v>2</v>
      </c>
      <c r="J148" s="255">
        <v>2</v>
      </c>
      <c r="K148" s="255">
        <v>2</v>
      </c>
      <c r="L148" s="255">
        <v>2</v>
      </c>
      <c r="M148" s="255">
        <v>2</v>
      </c>
      <c r="N148" s="255">
        <v>2</v>
      </c>
      <c r="O148" s="252">
        <v>2</v>
      </c>
    </row>
    <row r="149" spans="1:28" x14ac:dyDescent="0.2">
      <c r="B149" s="241" t="s">
        <v>472</v>
      </c>
      <c r="C149" s="243">
        <v>2</v>
      </c>
      <c r="D149" s="243">
        <v>2</v>
      </c>
      <c r="E149" s="243">
        <v>2</v>
      </c>
      <c r="F149" s="243">
        <v>2</v>
      </c>
      <c r="G149" s="243">
        <v>2</v>
      </c>
      <c r="H149" s="243">
        <v>2</v>
      </c>
      <c r="I149" s="243">
        <v>2</v>
      </c>
      <c r="J149" s="243">
        <v>2</v>
      </c>
      <c r="K149" s="243">
        <v>2</v>
      </c>
      <c r="L149" s="243">
        <v>2</v>
      </c>
      <c r="M149" s="243">
        <v>2</v>
      </c>
      <c r="N149" s="243">
        <v>2</v>
      </c>
    </row>
    <row r="150" spans="1:28" ht="12" thickBot="1" x14ac:dyDescent="0.25">
      <c r="B150" s="244" t="s">
        <v>473</v>
      </c>
      <c r="C150" s="298">
        <v>0</v>
      </c>
      <c r="D150" s="298">
        <v>0</v>
      </c>
      <c r="E150" s="298">
        <v>0</v>
      </c>
      <c r="F150" s="298">
        <v>0</v>
      </c>
      <c r="G150" s="298">
        <v>0</v>
      </c>
      <c r="H150" s="298">
        <v>0</v>
      </c>
      <c r="I150" s="298">
        <v>0</v>
      </c>
      <c r="J150" s="298">
        <v>0</v>
      </c>
      <c r="K150" s="298">
        <v>0</v>
      </c>
      <c r="L150" s="298">
        <v>0</v>
      </c>
      <c r="M150" s="298">
        <v>0</v>
      </c>
      <c r="N150" s="298">
        <v>0</v>
      </c>
    </row>
    <row r="151" spans="1:28" ht="12" thickBot="1" x14ac:dyDescent="0.25">
      <c r="B151" s="249" t="s">
        <v>474</v>
      </c>
      <c r="C151" s="251">
        <v>2</v>
      </c>
      <c r="D151" s="255">
        <v>2</v>
      </c>
      <c r="E151" s="255">
        <v>2</v>
      </c>
      <c r="F151" s="255">
        <v>2</v>
      </c>
      <c r="G151" s="255">
        <v>2</v>
      </c>
      <c r="H151" s="255">
        <v>2</v>
      </c>
      <c r="I151" s="255">
        <v>2</v>
      </c>
      <c r="J151" s="255">
        <v>2</v>
      </c>
      <c r="K151" s="255">
        <v>2</v>
      </c>
      <c r="L151" s="255">
        <v>2</v>
      </c>
      <c r="M151" s="255">
        <v>2</v>
      </c>
      <c r="N151" s="255">
        <v>2</v>
      </c>
      <c r="O151" s="252">
        <v>2</v>
      </c>
      <c r="P151" s="265" t="s">
        <v>475</v>
      </c>
      <c r="Q151" s="236">
        <v>2</v>
      </c>
      <c r="R151" s="236">
        <v>2</v>
      </c>
      <c r="S151" s="236">
        <v>2</v>
      </c>
      <c r="T151" s="236">
        <v>2</v>
      </c>
      <c r="U151" s="236">
        <v>2</v>
      </c>
      <c r="V151" s="236">
        <v>2</v>
      </c>
      <c r="W151" s="236">
        <v>2</v>
      </c>
      <c r="X151" s="236">
        <v>2</v>
      </c>
      <c r="Y151" s="236">
        <v>2</v>
      </c>
      <c r="Z151" s="236">
        <v>2</v>
      </c>
      <c r="AA151" s="236">
        <v>2</v>
      </c>
      <c r="AB151" s="236">
        <v>2</v>
      </c>
    </row>
    <row r="152" spans="1:28" x14ac:dyDescent="0.2">
      <c r="B152" s="270" t="s">
        <v>476</v>
      </c>
      <c r="C152" s="299">
        <v>2</v>
      </c>
      <c r="D152" s="301">
        <v>2</v>
      </c>
      <c r="E152" s="301">
        <v>2</v>
      </c>
      <c r="F152" s="301">
        <v>2</v>
      </c>
      <c r="G152" s="301">
        <v>2</v>
      </c>
      <c r="H152" s="301">
        <v>2</v>
      </c>
      <c r="I152" s="301">
        <v>2</v>
      </c>
      <c r="J152" s="301">
        <v>2</v>
      </c>
      <c r="K152" s="301">
        <v>2</v>
      </c>
      <c r="L152" s="301">
        <v>2</v>
      </c>
      <c r="M152" s="301">
        <v>2</v>
      </c>
      <c r="N152" s="301">
        <v>2</v>
      </c>
      <c r="P152" s="265" t="s">
        <v>477</v>
      </c>
      <c r="AB152" s="236">
        <v>2</v>
      </c>
    </row>
    <row r="153" spans="1:28" ht="12" thickBot="1" x14ac:dyDescent="0.25">
      <c r="B153" s="270" t="s">
        <v>478</v>
      </c>
      <c r="C153" s="300">
        <v>0</v>
      </c>
      <c r="D153" s="302">
        <v>0</v>
      </c>
      <c r="E153" s="302">
        <v>0</v>
      </c>
      <c r="F153" s="302">
        <v>0</v>
      </c>
      <c r="G153" s="302">
        <v>0</v>
      </c>
      <c r="H153" s="302">
        <v>0</v>
      </c>
      <c r="I153" s="302">
        <v>0</v>
      </c>
      <c r="J153" s="302">
        <v>0</v>
      </c>
      <c r="K153" s="302">
        <v>0</v>
      </c>
      <c r="L153" s="302">
        <v>0</v>
      </c>
      <c r="M153" s="302">
        <v>0</v>
      </c>
      <c r="N153" s="302">
        <v>0</v>
      </c>
      <c r="P153" s="265" t="s">
        <v>479</v>
      </c>
      <c r="Q153" s="236">
        <v>0</v>
      </c>
      <c r="R153" s="236">
        <v>0</v>
      </c>
      <c r="S153" s="236">
        <v>0</v>
      </c>
      <c r="T153" s="236">
        <v>0</v>
      </c>
      <c r="U153" s="236">
        <v>0</v>
      </c>
      <c r="V153" s="236">
        <v>0</v>
      </c>
      <c r="W153" s="236">
        <v>0</v>
      </c>
      <c r="X153" s="236">
        <v>0</v>
      </c>
      <c r="Y153" s="236">
        <v>0</v>
      </c>
      <c r="Z153" s="236">
        <v>0</v>
      </c>
      <c r="AA153" s="236">
        <v>0</v>
      </c>
      <c r="AB153" s="236">
        <v>0</v>
      </c>
    </row>
    <row r="154" spans="1:28" ht="12" thickBot="1" x14ac:dyDescent="0.25">
      <c r="B154" s="274" t="s">
        <v>480</v>
      </c>
      <c r="C154" s="275">
        <v>2</v>
      </c>
      <c r="D154" s="303">
        <v>2</v>
      </c>
      <c r="E154" s="303">
        <v>2</v>
      </c>
      <c r="F154" s="303">
        <v>2</v>
      </c>
      <c r="G154" s="303">
        <v>2</v>
      </c>
      <c r="H154" s="303">
        <v>2</v>
      </c>
      <c r="I154" s="303">
        <v>2</v>
      </c>
      <c r="J154" s="303">
        <v>2</v>
      </c>
      <c r="K154" s="303">
        <v>2</v>
      </c>
      <c r="L154" s="303">
        <v>2</v>
      </c>
      <c r="M154" s="303">
        <v>2</v>
      </c>
      <c r="N154" s="303">
        <v>2</v>
      </c>
      <c r="P154" s="236" t="s">
        <v>481</v>
      </c>
      <c r="Q154" s="236">
        <v>2</v>
      </c>
      <c r="R154" s="236">
        <v>4</v>
      </c>
      <c r="S154" s="236">
        <v>6</v>
      </c>
      <c r="T154" s="236">
        <v>8</v>
      </c>
      <c r="U154" s="236">
        <v>10</v>
      </c>
      <c r="V154" s="236">
        <v>12</v>
      </c>
      <c r="W154" s="236">
        <v>14</v>
      </c>
      <c r="X154" s="236">
        <v>16</v>
      </c>
      <c r="Y154" s="236">
        <v>18</v>
      </c>
      <c r="Z154" s="236">
        <v>20</v>
      </c>
      <c r="AA154" s="236">
        <v>22</v>
      </c>
      <c r="AB154" s="236">
        <v>24</v>
      </c>
    </row>
    <row r="155" spans="1:28" x14ac:dyDescent="0.2">
      <c r="P155" s="236" t="s">
        <v>482</v>
      </c>
      <c r="AB155" s="236">
        <v>2</v>
      </c>
    </row>
    <row r="156" spans="1:28" x14ac:dyDescent="0.2">
      <c r="P156" s="236" t="s">
        <v>483</v>
      </c>
      <c r="Q156" s="236">
        <v>0</v>
      </c>
      <c r="R156" s="236">
        <v>0</v>
      </c>
      <c r="S156" s="236">
        <v>0</v>
      </c>
      <c r="T156" s="236">
        <v>0</v>
      </c>
      <c r="U156" s="236">
        <v>0</v>
      </c>
      <c r="V156" s="236">
        <v>0</v>
      </c>
      <c r="W156" s="236">
        <v>0</v>
      </c>
      <c r="X156" s="236">
        <v>0</v>
      </c>
      <c r="Y156" s="236">
        <v>0</v>
      </c>
      <c r="Z156" s="236">
        <v>0</v>
      </c>
      <c r="AA156" s="236">
        <v>0</v>
      </c>
      <c r="AB156" s="236">
        <v>0</v>
      </c>
    </row>
    <row r="158" spans="1:28" ht="12" thickBot="1" x14ac:dyDescent="0.25"/>
    <row r="159" spans="1:28" ht="15.75" x14ac:dyDescent="0.25">
      <c r="B159" s="277" t="s">
        <v>484</v>
      </c>
      <c r="C159" s="768" t="s">
        <v>340</v>
      </c>
      <c r="D159" s="769"/>
      <c r="E159" s="769"/>
      <c r="F159" s="769"/>
      <c r="G159" s="769"/>
      <c r="H159" s="769"/>
      <c r="I159" s="769"/>
      <c r="J159" s="769"/>
      <c r="K159" s="769"/>
      <c r="L159" s="769"/>
      <c r="M159" s="769"/>
      <c r="N159" s="770"/>
    </row>
    <row r="160" spans="1:28" x14ac:dyDescent="0.2">
      <c r="B160" s="278"/>
      <c r="C160" s="771" t="s">
        <v>341</v>
      </c>
      <c r="D160" s="771" t="s">
        <v>342</v>
      </c>
      <c r="E160" s="771" t="s">
        <v>343</v>
      </c>
      <c r="F160" s="771" t="s">
        <v>344</v>
      </c>
      <c r="G160" s="771" t="s">
        <v>345</v>
      </c>
      <c r="H160" s="771" t="s">
        <v>346</v>
      </c>
      <c r="I160" s="771" t="s">
        <v>347</v>
      </c>
      <c r="J160" s="771" t="s">
        <v>348</v>
      </c>
      <c r="K160" s="771" t="s">
        <v>349</v>
      </c>
      <c r="L160" s="771" t="s">
        <v>350</v>
      </c>
      <c r="M160" s="771" t="s">
        <v>351</v>
      </c>
      <c r="N160" s="771" t="s">
        <v>352</v>
      </c>
    </row>
    <row r="161" spans="2:15" ht="12.75" thickBot="1" x14ac:dyDescent="0.25">
      <c r="B161" s="240" t="s">
        <v>353</v>
      </c>
      <c r="C161" s="772"/>
      <c r="D161" s="772"/>
      <c r="E161" s="772"/>
      <c r="F161" s="772"/>
      <c r="G161" s="772"/>
      <c r="H161" s="772"/>
      <c r="I161" s="772"/>
      <c r="J161" s="772"/>
      <c r="K161" s="772"/>
      <c r="L161" s="772"/>
      <c r="M161" s="772"/>
      <c r="N161" s="772"/>
    </row>
    <row r="162" spans="2:15" x14ac:dyDescent="0.2">
      <c r="B162" s="253" t="s">
        <v>485</v>
      </c>
      <c r="C162" s="245">
        <v>94</v>
      </c>
      <c r="D162" s="245">
        <v>94</v>
      </c>
      <c r="E162" s="245">
        <v>94</v>
      </c>
      <c r="F162" s="245">
        <v>94</v>
      </c>
      <c r="G162" s="245">
        <v>93</v>
      </c>
      <c r="H162" s="245">
        <v>93</v>
      </c>
      <c r="I162" s="245">
        <v>92</v>
      </c>
      <c r="J162" s="245">
        <v>92</v>
      </c>
      <c r="K162" s="245">
        <v>93</v>
      </c>
      <c r="L162" s="245">
        <v>93</v>
      </c>
      <c r="M162" s="245">
        <v>93</v>
      </c>
      <c r="N162" s="279">
        <v>93</v>
      </c>
    </row>
    <row r="163" spans="2:15" x14ac:dyDescent="0.2">
      <c r="B163" s="253" t="s">
        <v>486</v>
      </c>
      <c r="C163" s="245">
        <v>2</v>
      </c>
      <c r="D163" s="245">
        <v>2</v>
      </c>
      <c r="E163" s="245">
        <v>3</v>
      </c>
      <c r="F163" s="245">
        <v>3</v>
      </c>
      <c r="G163" s="245">
        <v>4</v>
      </c>
      <c r="H163" s="245">
        <v>4</v>
      </c>
      <c r="I163" s="245">
        <v>4</v>
      </c>
      <c r="J163" s="245">
        <v>4</v>
      </c>
      <c r="K163" s="245">
        <v>4</v>
      </c>
      <c r="L163" s="245">
        <v>4</v>
      </c>
      <c r="M163" s="245">
        <v>4</v>
      </c>
      <c r="N163" s="253">
        <v>3</v>
      </c>
    </row>
    <row r="164" spans="2:15" ht="12" thickBot="1" x14ac:dyDescent="0.25">
      <c r="B164" s="253" t="s">
        <v>487</v>
      </c>
      <c r="C164" s="245">
        <v>15</v>
      </c>
      <c r="D164" s="245">
        <v>14</v>
      </c>
      <c r="E164" s="245">
        <v>13</v>
      </c>
      <c r="F164" s="245">
        <v>14</v>
      </c>
      <c r="G164" s="245">
        <v>15</v>
      </c>
      <c r="H164" s="245">
        <v>18</v>
      </c>
      <c r="I164" s="245">
        <v>17</v>
      </c>
      <c r="J164" s="245">
        <v>17</v>
      </c>
      <c r="K164" s="245">
        <v>17</v>
      </c>
      <c r="L164" s="245">
        <v>16</v>
      </c>
      <c r="M164" s="245">
        <v>15</v>
      </c>
      <c r="N164" s="248">
        <v>16</v>
      </c>
    </row>
    <row r="165" spans="2:15" ht="12" thickBot="1" x14ac:dyDescent="0.25">
      <c r="B165" s="249" t="s">
        <v>488</v>
      </c>
      <c r="C165" s="251">
        <v>109.3</v>
      </c>
      <c r="D165" s="251">
        <v>108.3</v>
      </c>
      <c r="E165" s="251">
        <v>107.45</v>
      </c>
      <c r="F165" s="251">
        <v>108.45</v>
      </c>
      <c r="G165" s="251">
        <v>108.6</v>
      </c>
      <c r="H165" s="251">
        <v>111.6</v>
      </c>
      <c r="I165" s="251">
        <v>109.6</v>
      </c>
      <c r="J165" s="251">
        <v>109.6</v>
      </c>
      <c r="K165" s="251">
        <v>110.6</v>
      </c>
      <c r="L165" s="251">
        <v>109.6</v>
      </c>
      <c r="M165" s="251">
        <v>108.6</v>
      </c>
      <c r="N165" s="251">
        <v>109.45</v>
      </c>
      <c r="O165" s="252">
        <v>109.2625</v>
      </c>
    </row>
    <row r="166" spans="2:15" x14ac:dyDescent="0.2">
      <c r="B166" s="253" t="s">
        <v>489</v>
      </c>
      <c r="C166" s="245">
        <v>85</v>
      </c>
      <c r="D166" s="245">
        <v>85</v>
      </c>
      <c r="E166" s="245">
        <v>86</v>
      </c>
      <c r="F166" s="245">
        <v>86</v>
      </c>
      <c r="G166" s="245">
        <v>86</v>
      </c>
      <c r="H166" s="245">
        <v>85</v>
      </c>
      <c r="I166" s="245">
        <v>86</v>
      </c>
      <c r="J166" s="245">
        <v>86</v>
      </c>
      <c r="K166" s="245">
        <v>85</v>
      </c>
      <c r="L166" s="245">
        <v>84</v>
      </c>
      <c r="M166" s="245">
        <v>84</v>
      </c>
      <c r="N166" s="279">
        <v>84</v>
      </c>
    </row>
    <row r="167" spans="2:15" x14ac:dyDescent="0.2">
      <c r="B167" s="253" t="s">
        <v>490</v>
      </c>
      <c r="C167" s="245">
        <v>3</v>
      </c>
      <c r="D167" s="245">
        <v>3</v>
      </c>
      <c r="E167" s="245">
        <v>3</v>
      </c>
      <c r="F167" s="245">
        <v>3</v>
      </c>
      <c r="G167" s="245">
        <v>3</v>
      </c>
      <c r="H167" s="245">
        <v>3</v>
      </c>
      <c r="I167" s="245">
        <v>3</v>
      </c>
      <c r="J167" s="245">
        <v>3</v>
      </c>
      <c r="K167" s="245">
        <v>3</v>
      </c>
      <c r="L167" s="245">
        <v>3</v>
      </c>
      <c r="M167" s="245">
        <v>3</v>
      </c>
      <c r="N167" s="253">
        <v>2</v>
      </c>
    </row>
    <row r="168" spans="2:15" ht="12" thickBot="1" x14ac:dyDescent="0.25">
      <c r="B168" s="253" t="s">
        <v>491</v>
      </c>
      <c r="C168" s="245">
        <v>6</v>
      </c>
      <c r="D168" s="245">
        <v>6</v>
      </c>
      <c r="E168" s="245">
        <v>6</v>
      </c>
      <c r="F168" s="245">
        <v>7</v>
      </c>
      <c r="G168" s="245">
        <v>6</v>
      </c>
      <c r="H168" s="245">
        <v>6</v>
      </c>
      <c r="I168" s="245">
        <v>7</v>
      </c>
      <c r="J168" s="245">
        <v>7</v>
      </c>
      <c r="K168" s="245">
        <v>7</v>
      </c>
      <c r="L168" s="245">
        <v>8</v>
      </c>
      <c r="M168" s="245">
        <v>9</v>
      </c>
      <c r="N168" s="248">
        <v>9</v>
      </c>
    </row>
    <row r="169" spans="2:15" ht="12" thickBot="1" x14ac:dyDescent="0.25">
      <c r="B169" s="249" t="s">
        <v>492</v>
      </c>
      <c r="C169" s="251">
        <v>91.45</v>
      </c>
      <c r="D169" s="251">
        <v>91.45</v>
      </c>
      <c r="E169" s="251">
        <v>92.45</v>
      </c>
      <c r="F169" s="251">
        <v>93.45</v>
      </c>
      <c r="G169" s="251">
        <v>92.45</v>
      </c>
      <c r="H169" s="251">
        <v>91.45</v>
      </c>
      <c r="I169" s="251">
        <v>93.45</v>
      </c>
      <c r="J169" s="251">
        <v>93.45</v>
      </c>
      <c r="K169" s="251">
        <v>92.45</v>
      </c>
      <c r="L169" s="251">
        <v>92.45</v>
      </c>
      <c r="M169" s="251">
        <v>93.45</v>
      </c>
      <c r="N169" s="251">
        <v>93.3</v>
      </c>
      <c r="O169" s="252">
        <v>92.604166666666686</v>
      </c>
    </row>
    <row r="170" spans="2:15" x14ac:dyDescent="0.2">
      <c r="B170" s="253" t="s">
        <v>493</v>
      </c>
      <c r="C170" s="245">
        <v>12</v>
      </c>
      <c r="D170" s="245">
        <v>12</v>
      </c>
      <c r="E170" s="245">
        <v>12</v>
      </c>
      <c r="F170" s="245">
        <v>12</v>
      </c>
      <c r="G170" s="245">
        <v>12</v>
      </c>
      <c r="H170" s="245">
        <v>12</v>
      </c>
      <c r="I170" s="245">
        <v>12</v>
      </c>
      <c r="J170" s="245">
        <v>12</v>
      </c>
      <c r="K170" s="245">
        <v>12</v>
      </c>
      <c r="L170" s="245">
        <v>11</v>
      </c>
      <c r="M170" s="245">
        <v>12</v>
      </c>
      <c r="N170" s="279">
        <v>13</v>
      </c>
    </row>
    <row r="171" spans="2:15" x14ac:dyDescent="0.2">
      <c r="B171" s="253" t="s">
        <v>494</v>
      </c>
      <c r="C171" s="245">
        <v>0</v>
      </c>
      <c r="D171" s="245">
        <v>0</v>
      </c>
      <c r="E171" s="245">
        <v>0</v>
      </c>
      <c r="F171" s="245">
        <v>0</v>
      </c>
      <c r="G171" s="245">
        <v>0</v>
      </c>
      <c r="H171" s="245">
        <v>0</v>
      </c>
      <c r="I171" s="245">
        <v>0</v>
      </c>
      <c r="J171" s="245">
        <v>0</v>
      </c>
      <c r="K171" s="245">
        <v>0</v>
      </c>
      <c r="L171" s="245">
        <v>0</v>
      </c>
      <c r="M171" s="245">
        <v>0</v>
      </c>
      <c r="N171" s="253">
        <v>0</v>
      </c>
    </row>
    <row r="172" spans="2:15" ht="12" thickBot="1" x14ac:dyDescent="0.25">
      <c r="B172" s="253" t="s">
        <v>495</v>
      </c>
      <c r="C172" s="245">
        <v>3</v>
      </c>
      <c r="D172" s="245">
        <v>3</v>
      </c>
      <c r="E172" s="245">
        <v>3</v>
      </c>
      <c r="F172" s="245">
        <v>3</v>
      </c>
      <c r="G172" s="245">
        <v>3</v>
      </c>
      <c r="H172" s="245">
        <v>3</v>
      </c>
      <c r="I172" s="245">
        <v>3</v>
      </c>
      <c r="J172" s="245">
        <v>3</v>
      </c>
      <c r="K172" s="245">
        <v>3</v>
      </c>
      <c r="L172" s="245">
        <v>3</v>
      </c>
      <c r="M172" s="245">
        <v>3</v>
      </c>
      <c r="N172" s="248">
        <v>2</v>
      </c>
    </row>
    <row r="173" spans="2:15" ht="12" thickBot="1" x14ac:dyDescent="0.25">
      <c r="B173" s="249" t="s">
        <v>496</v>
      </c>
      <c r="C173" s="251">
        <v>15</v>
      </c>
      <c r="D173" s="251">
        <v>15</v>
      </c>
      <c r="E173" s="251">
        <v>15</v>
      </c>
      <c r="F173" s="251">
        <v>15</v>
      </c>
      <c r="G173" s="251">
        <v>15</v>
      </c>
      <c r="H173" s="251">
        <v>15</v>
      </c>
      <c r="I173" s="251">
        <v>15</v>
      </c>
      <c r="J173" s="251">
        <v>15</v>
      </c>
      <c r="K173" s="251">
        <v>15</v>
      </c>
      <c r="L173" s="251">
        <v>14</v>
      </c>
      <c r="M173" s="251">
        <v>15</v>
      </c>
      <c r="N173" s="251">
        <v>15</v>
      </c>
      <c r="O173" s="252">
        <v>14.916666666666666</v>
      </c>
    </row>
    <row r="174" spans="2:15" x14ac:dyDescent="0.2">
      <c r="B174" s="253" t="s">
        <v>497</v>
      </c>
      <c r="C174" s="245">
        <v>87</v>
      </c>
      <c r="D174" s="245">
        <v>87</v>
      </c>
      <c r="E174" s="245">
        <v>87</v>
      </c>
      <c r="F174" s="245">
        <v>87</v>
      </c>
      <c r="G174" s="245">
        <v>87</v>
      </c>
      <c r="H174" s="245">
        <v>87</v>
      </c>
      <c r="I174" s="245">
        <v>87</v>
      </c>
      <c r="J174" s="245">
        <v>86</v>
      </c>
      <c r="K174" s="245">
        <v>85</v>
      </c>
      <c r="L174" s="245">
        <v>85</v>
      </c>
      <c r="M174" s="245">
        <v>86</v>
      </c>
      <c r="N174" s="279">
        <v>86</v>
      </c>
    </row>
    <row r="175" spans="2:15" x14ac:dyDescent="0.2">
      <c r="B175" s="253" t="s">
        <v>498</v>
      </c>
      <c r="C175" s="245">
        <v>1</v>
      </c>
      <c r="D175" s="245">
        <v>1</v>
      </c>
      <c r="E175" s="245">
        <v>1</v>
      </c>
      <c r="F175" s="245">
        <v>1</v>
      </c>
      <c r="G175" s="245">
        <v>1</v>
      </c>
      <c r="H175" s="245">
        <v>1</v>
      </c>
      <c r="I175" s="245">
        <v>1</v>
      </c>
      <c r="J175" s="245">
        <v>2</v>
      </c>
      <c r="K175" s="245">
        <v>2</v>
      </c>
      <c r="L175" s="245">
        <v>2</v>
      </c>
      <c r="M175" s="245">
        <v>2</v>
      </c>
      <c r="N175" s="253">
        <v>2</v>
      </c>
    </row>
    <row r="176" spans="2:15" ht="12" thickBot="1" x14ac:dyDescent="0.25">
      <c r="B176" s="253" t="s">
        <v>499</v>
      </c>
      <c r="C176" s="245">
        <v>8</v>
      </c>
      <c r="D176" s="245">
        <v>8</v>
      </c>
      <c r="E176" s="245">
        <v>8</v>
      </c>
      <c r="F176" s="245">
        <v>8</v>
      </c>
      <c r="G176" s="245">
        <v>9</v>
      </c>
      <c r="H176" s="245">
        <v>10</v>
      </c>
      <c r="I176" s="245">
        <v>9</v>
      </c>
      <c r="J176" s="245">
        <v>9</v>
      </c>
      <c r="K176" s="245">
        <v>9</v>
      </c>
      <c r="L176" s="245">
        <v>10</v>
      </c>
      <c r="M176" s="245">
        <v>10</v>
      </c>
      <c r="N176" s="248">
        <v>14</v>
      </c>
    </row>
    <row r="177" spans="2:28" ht="12" thickBot="1" x14ac:dyDescent="0.25">
      <c r="B177" s="249" t="s">
        <v>500</v>
      </c>
      <c r="C177" s="251">
        <v>95.15</v>
      </c>
      <c r="D177" s="251">
        <v>95.15</v>
      </c>
      <c r="E177" s="251">
        <v>95.15</v>
      </c>
      <c r="F177" s="251">
        <v>95.15</v>
      </c>
      <c r="G177" s="251">
        <v>96.15</v>
      </c>
      <c r="H177" s="251">
        <v>97.15</v>
      </c>
      <c r="I177" s="251">
        <v>96.15</v>
      </c>
      <c r="J177" s="251">
        <v>95.3</v>
      </c>
      <c r="K177" s="251">
        <v>94.3</v>
      </c>
      <c r="L177" s="251">
        <v>95.3</v>
      </c>
      <c r="M177" s="251">
        <v>96.3</v>
      </c>
      <c r="N177" s="251">
        <v>100.3</v>
      </c>
      <c r="O177" s="252">
        <v>95.962499999999977</v>
      </c>
    </row>
    <row r="178" spans="2:28" x14ac:dyDescent="0.2">
      <c r="B178" s="259" t="s">
        <v>409</v>
      </c>
      <c r="C178" s="245">
        <v>7</v>
      </c>
      <c r="D178" s="245">
        <v>7</v>
      </c>
      <c r="E178" s="245">
        <v>6</v>
      </c>
      <c r="F178" s="245">
        <v>6</v>
      </c>
      <c r="G178" s="245">
        <v>6</v>
      </c>
      <c r="H178" s="245">
        <v>6</v>
      </c>
      <c r="I178" s="245">
        <v>6</v>
      </c>
      <c r="J178" s="245">
        <v>6</v>
      </c>
      <c r="K178" s="245">
        <v>7</v>
      </c>
      <c r="L178" s="245">
        <v>7</v>
      </c>
      <c r="M178" s="245">
        <v>7</v>
      </c>
      <c r="N178" s="279">
        <v>7</v>
      </c>
    </row>
    <row r="179" spans="2:28" x14ac:dyDescent="0.2">
      <c r="B179" s="259" t="s">
        <v>410</v>
      </c>
      <c r="C179" s="245">
        <v>0</v>
      </c>
      <c r="D179" s="245">
        <v>0</v>
      </c>
      <c r="E179" s="245">
        <v>0</v>
      </c>
      <c r="F179" s="245">
        <v>0</v>
      </c>
      <c r="G179" s="245">
        <v>0</v>
      </c>
      <c r="H179" s="245">
        <v>0</v>
      </c>
      <c r="I179" s="245">
        <v>0</v>
      </c>
      <c r="J179" s="245">
        <v>0</v>
      </c>
      <c r="K179" s="245">
        <v>0</v>
      </c>
      <c r="L179" s="245">
        <v>0</v>
      </c>
      <c r="M179" s="245">
        <v>0</v>
      </c>
      <c r="N179" s="253">
        <v>0</v>
      </c>
    </row>
    <row r="180" spans="2:28" ht="12" thickBot="1" x14ac:dyDescent="0.25">
      <c r="B180" s="259" t="s">
        <v>411</v>
      </c>
      <c r="C180" s="245">
        <v>0</v>
      </c>
      <c r="D180" s="245">
        <v>0</v>
      </c>
      <c r="E180" s="245">
        <v>0</v>
      </c>
      <c r="F180" s="245">
        <v>0</v>
      </c>
      <c r="G180" s="245">
        <v>0</v>
      </c>
      <c r="H180" s="245">
        <v>0</v>
      </c>
      <c r="I180" s="245">
        <v>0</v>
      </c>
      <c r="J180" s="245">
        <v>0</v>
      </c>
      <c r="K180" s="245">
        <v>0</v>
      </c>
      <c r="L180" s="245">
        <v>0</v>
      </c>
      <c r="M180" s="245">
        <v>0</v>
      </c>
      <c r="N180" s="248">
        <v>0</v>
      </c>
    </row>
    <row r="181" spans="2:28" ht="12" thickBot="1" x14ac:dyDescent="0.25">
      <c r="B181" s="257" t="s">
        <v>501</v>
      </c>
      <c r="C181" s="251">
        <v>7</v>
      </c>
      <c r="D181" s="251">
        <v>7</v>
      </c>
      <c r="E181" s="251">
        <v>6</v>
      </c>
      <c r="F181" s="251">
        <v>6</v>
      </c>
      <c r="G181" s="251">
        <v>6</v>
      </c>
      <c r="H181" s="251">
        <v>6</v>
      </c>
      <c r="I181" s="251">
        <v>6</v>
      </c>
      <c r="J181" s="251">
        <v>6</v>
      </c>
      <c r="K181" s="251">
        <v>7</v>
      </c>
      <c r="L181" s="251">
        <v>7</v>
      </c>
      <c r="M181" s="251">
        <v>7</v>
      </c>
      <c r="N181" s="251">
        <v>7</v>
      </c>
      <c r="O181" s="252">
        <v>6.5</v>
      </c>
    </row>
    <row r="182" spans="2:28" x14ac:dyDescent="0.2">
      <c r="B182" s="296" t="s">
        <v>378</v>
      </c>
      <c r="C182" s="245">
        <v>3</v>
      </c>
      <c r="D182" s="245">
        <v>3</v>
      </c>
      <c r="E182" s="245">
        <v>3</v>
      </c>
      <c r="F182" s="245">
        <v>3</v>
      </c>
      <c r="G182" s="245">
        <v>3</v>
      </c>
      <c r="H182" s="245">
        <v>3</v>
      </c>
      <c r="I182" s="245">
        <v>3</v>
      </c>
      <c r="J182" s="245">
        <v>3</v>
      </c>
      <c r="K182" s="245">
        <v>3</v>
      </c>
      <c r="L182" s="245">
        <v>3</v>
      </c>
      <c r="M182" s="245">
        <v>3</v>
      </c>
      <c r="N182" s="279">
        <v>3</v>
      </c>
    </row>
    <row r="183" spans="2:28" x14ac:dyDescent="0.2">
      <c r="B183" s="259" t="s">
        <v>379</v>
      </c>
      <c r="C183" s="245">
        <v>1</v>
      </c>
      <c r="D183" s="245">
        <v>1</v>
      </c>
      <c r="E183" s="245">
        <v>1</v>
      </c>
      <c r="F183" s="245">
        <v>1</v>
      </c>
      <c r="G183" s="245">
        <v>0</v>
      </c>
      <c r="H183" s="245">
        <v>0</v>
      </c>
      <c r="I183" s="245">
        <v>0</v>
      </c>
      <c r="J183" s="245">
        <v>0</v>
      </c>
      <c r="K183" s="245">
        <v>0</v>
      </c>
      <c r="L183" s="245">
        <v>0</v>
      </c>
      <c r="M183" s="245">
        <v>0</v>
      </c>
      <c r="N183" s="253">
        <v>0</v>
      </c>
    </row>
    <row r="184" spans="2:28" ht="12" thickBot="1" x14ac:dyDescent="0.25">
      <c r="B184" s="259" t="s">
        <v>380</v>
      </c>
      <c r="C184" s="245">
        <v>0</v>
      </c>
      <c r="D184" s="245">
        <v>0</v>
      </c>
      <c r="E184" s="245">
        <v>0</v>
      </c>
      <c r="F184" s="245">
        <v>0</v>
      </c>
      <c r="G184" s="245">
        <v>0</v>
      </c>
      <c r="H184" s="245">
        <v>0</v>
      </c>
      <c r="I184" s="245">
        <v>0</v>
      </c>
      <c r="J184" s="245">
        <v>0</v>
      </c>
      <c r="K184" s="245">
        <v>0</v>
      </c>
      <c r="L184" s="245">
        <v>0</v>
      </c>
      <c r="M184" s="245">
        <v>0</v>
      </c>
      <c r="N184" s="248">
        <v>0</v>
      </c>
    </row>
    <row r="185" spans="2:28" ht="12" thickBot="1" x14ac:dyDescent="0.25">
      <c r="B185" s="257" t="s">
        <v>502</v>
      </c>
      <c r="C185" s="251">
        <v>3.15</v>
      </c>
      <c r="D185" s="251">
        <v>3.15</v>
      </c>
      <c r="E185" s="251">
        <v>3.15</v>
      </c>
      <c r="F185" s="251">
        <v>3.15</v>
      </c>
      <c r="G185" s="251">
        <v>3</v>
      </c>
      <c r="H185" s="251">
        <v>3</v>
      </c>
      <c r="I185" s="251">
        <v>3</v>
      </c>
      <c r="J185" s="251">
        <v>3</v>
      </c>
      <c r="K185" s="251">
        <v>3</v>
      </c>
      <c r="L185" s="251">
        <v>3</v>
      </c>
      <c r="M185" s="251">
        <v>3</v>
      </c>
      <c r="N185" s="251">
        <v>3</v>
      </c>
      <c r="O185" s="252">
        <v>3.0500000000000003</v>
      </c>
    </row>
    <row r="186" spans="2:28" x14ac:dyDescent="0.2">
      <c r="B186" s="304" t="s">
        <v>503</v>
      </c>
      <c r="C186" s="279">
        <v>288</v>
      </c>
      <c r="D186" s="279">
        <v>288</v>
      </c>
      <c r="E186" s="279">
        <v>288</v>
      </c>
      <c r="F186" s="279">
        <v>288</v>
      </c>
      <c r="G186" s="279">
        <v>287</v>
      </c>
      <c r="H186" s="279">
        <v>286</v>
      </c>
      <c r="I186" s="279">
        <v>286</v>
      </c>
      <c r="J186" s="279">
        <v>285</v>
      </c>
      <c r="K186" s="279">
        <v>285</v>
      </c>
      <c r="L186" s="279">
        <v>283</v>
      </c>
      <c r="M186" s="279">
        <v>285</v>
      </c>
      <c r="N186" s="279">
        <v>286</v>
      </c>
    </row>
    <row r="187" spans="2:28" x14ac:dyDescent="0.2">
      <c r="B187" s="304" t="s">
        <v>504</v>
      </c>
      <c r="C187" s="253">
        <v>7</v>
      </c>
      <c r="D187" s="253">
        <v>7</v>
      </c>
      <c r="E187" s="253">
        <v>8</v>
      </c>
      <c r="F187" s="253">
        <v>8</v>
      </c>
      <c r="G187" s="253">
        <v>8</v>
      </c>
      <c r="H187" s="253">
        <v>8</v>
      </c>
      <c r="I187" s="253">
        <v>8</v>
      </c>
      <c r="J187" s="253">
        <v>9</v>
      </c>
      <c r="K187" s="253">
        <v>9</v>
      </c>
      <c r="L187" s="253">
        <v>9</v>
      </c>
      <c r="M187" s="253">
        <v>9</v>
      </c>
      <c r="N187" s="253">
        <v>7</v>
      </c>
    </row>
    <row r="188" spans="2:28" ht="12" thickBot="1" x14ac:dyDescent="0.25">
      <c r="B188" s="304" t="s">
        <v>505</v>
      </c>
      <c r="C188" s="248">
        <v>32</v>
      </c>
      <c r="D188" s="248">
        <v>31</v>
      </c>
      <c r="E188" s="248">
        <v>30</v>
      </c>
      <c r="F188" s="248">
        <v>32</v>
      </c>
      <c r="G188" s="248">
        <v>33</v>
      </c>
      <c r="H188" s="248">
        <v>37</v>
      </c>
      <c r="I188" s="248">
        <v>36</v>
      </c>
      <c r="J188" s="248">
        <v>36</v>
      </c>
      <c r="K188" s="248">
        <v>36</v>
      </c>
      <c r="L188" s="248">
        <v>37</v>
      </c>
      <c r="M188" s="248">
        <v>37</v>
      </c>
      <c r="N188" s="248">
        <v>41</v>
      </c>
    </row>
    <row r="189" spans="2:28" ht="12" thickBot="1" x14ac:dyDescent="0.25">
      <c r="B189" s="264" t="s">
        <v>506</v>
      </c>
      <c r="C189" s="251">
        <v>321.05</v>
      </c>
      <c r="D189" s="251">
        <v>320.05</v>
      </c>
      <c r="E189" s="251">
        <v>319.2</v>
      </c>
      <c r="F189" s="251">
        <v>321.2</v>
      </c>
      <c r="G189" s="251">
        <v>321.2</v>
      </c>
      <c r="H189" s="251">
        <v>324.2</v>
      </c>
      <c r="I189" s="251">
        <v>323.2</v>
      </c>
      <c r="J189" s="251">
        <v>322.35000000000002</v>
      </c>
      <c r="K189" s="251">
        <v>322.35000000000002</v>
      </c>
      <c r="L189" s="251">
        <v>321.35000000000002</v>
      </c>
      <c r="M189" s="251">
        <v>323.35000000000002</v>
      </c>
      <c r="N189" s="251">
        <v>328.05</v>
      </c>
      <c r="O189" s="252">
        <v>322.29583333333329</v>
      </c>
      <c r="P189" s="265" t="s">
        <v>507</v>
      </c>
      <c r="Q189" s="236">
        <v>288</v>
      </c>
      <c r="R189" s="236">
        <v>288</v>
      </c>
      <c r="S189" s="236">
        <v>288</v>
      </c>
      <c r="T189" s="236">
        <v>288</v>
      </c>
      <c r="U189" s="236">
        <v>287</v>
      </c>
      <c r="V189" s="236">
        <v>286</v>
      </c>
      <c r="W189" s="236">
        <v>286</v>
      </c>
      <c r="X189" s="236">
        <v>285</v>
      </c>
      <c r="Y189" s="236">
        <v>285</v>
      </c>
      <c r="Z189" s="236">
        <v>283</v>
      </c>
      <c r="AA189" s="236">
        <v>285</v>
      </c>
      <c r="AB189" s="236">
        <v>286</v>
      </c>
    </row>
    <row r="190" spans="2:28" x14ac:dyDescent="0.2">
      <c r="B190" s="270" t="s">
        <v>508</v>
      </c>
      <c r="C190" s="299">
        <v>288</v>
      </c>
      <c r="D190" s="268">
        <v>288</v>
      </c>
      <c r="E190" s="268">
        <v>288</v>
      </c>
      <c r="F190" s="268">
        <v>288</v>
      </c>
      <c r="G190" s="268">
        <v>287.8</v>
      </c>
      <c r="H190" s="268">
        <v>287.5</v>
      </c>
      <c r="I190" s="268">
        <v>287.28571428571428</v>
      </c>
      <c r="J190" s="268">
        <v>287</v>
      </c>
      <c r="K190" s="268">
        <v>286.77777777777777</v>
      </c>
      <c r="L190" s="268">
        <v>286.39999999999998</v>
      </c>
      <c r="M190" s="268">
        <v>286.27272727272725</v>
      </c>
      <c r="N190" s="268">
        <v>286.25</v>
      </c>
      <c r="P190" s="265" t="s">
        <v>509</v>
      </c>
      <c r="Q190" s="236">
        <v>7</v>
      </c>
      <c r="R190" s="236">
        <v>7</v>
      </c>
      <c r="S190" s="236">
        <v>8</v>
      </c>
      <c r="T190" s="236">
        <v>8</v>
      </c>
      <c r="U190" s="236">
        <v>8</v>
      </c>
      <c r="V190" s="236">
        <v>8</v>
      </c>
      <c r="W190" s="236">
        <v>8</v>
      </c>
      <c r="X190" s="236">
        <v>9</v>
      </c>
      <c r="Y190" s="236">
        <v>9</v>
      </c>
      <c r="Z190" s="236">
        <v>9</v>
      </c>
      <c r="AA190" s="236">
        <v>9</v>
      </c>
      <c r="AB190" s="236">
        <v>7</v>
      </c>
    </row>
    <row r="191" spans="2:28" x14ac:dyDescent="0.2">
      <c r="B191" s="270" t="s">
        <v>510</v>
      </c>
      <c r="C191" s="305">
        <v>7</v>
      </c>
      <c r="D191" s="272">
        <v>7</v>
      </c>
      <c r="E191" s="272">
        <v>7.333333333333333</v>
      </c>
      <c r="F191" s="272">
        <v>7.5</v>
      </c>
      <c r="G191" s="272">
        <v>7.6</v>
      </c>
      <c r="H191" s="272">
        <v>7.666666666666667</v>
      </c>
      <c r="I191" s="272">
        <v>7.7142857142857144</v>
      </c>
      <c r="J191" s="272">
        <v>7.875</v>
      </c>
      <c r="K191" s="272">
        <v>8</v>
      </c>
      <c r="L191" s="272">
        <v>8.1</v>
      </c>
      <c r="M191" s="272">
        <v>8.1818181818181817</v>
      </c>
      <c r="N191" s="272">
        <v>8.0833333333333339</v>
      </c>
      <c r="P191" s="265" t="s">
        <v>511</v>
      </c>
      <c r="Q191" s="236">
        <v>32</v>
      </c>
      <c r="R191" s="236">
        <v>31</v>
      </c>
      <c r="S191" s="236">
        <v>30</v>
      </c>
      <c r="T191" s="236">
        <v>32</v>
      </c>
      <c r="U191" s="236">
        <v>33</v>
      </c>
      <c r="V191" s="236">
        <v>37</v>
      </c>
      <c r="W191" s="236">
        <v>36</v>
      </c>
      <c r="X191" s="236">
        <v>36</v>
      </c>
      <c r="Y191" s="236">
        <v>36</v>
      </c>
      <c r="Z191" s="236">
        <v>37</v>
      </c>
      <c r="AA191" s="236">
        <v>37</v>
      </c>
      <c r="AB191" s="236">
        <v>41</v>
      </c>
    </row>
    <row r="192" spans="2:28" ht="12" thickBot="1" x14ac:dyDescent="0.25">
      <c r="B192" s="270" t="s">
        <v>512</v>
      </c>
      <c r="C192" s="300">
        <v>32</v>
      </c>
      <c r="D192" s="272">
        <v>31.5</v>
      </c>
      <c r="E192" s="272">
        <v>31</v>
      </c>
      <c r="F192" s="272">
        <v>31.25</v>
      </c>
      <c r="G192" s="272">
        <v>31.6</v>
      </c>
      <c r="H192" s="273">
        <v>32.5</v>
      </c>
      <c r="I192" s="273">
        <v>33</v>
      </c>
      <c r="J192" s="273">
        <v>33.375</v>
      </c>
      <c r="K192" s="273">
        <v>33.666666666666664</v>
      </c>
      <c r="L192" s="273">
        <v>34</v>
      </c>
      <c r="M192" s="273">
        <v>34.272727272727273</v>
      </c>
      <c r="N192" s="272">
        <v>34.833333333333336</v>
      </c>
      <c r="P192" s="236" t="s">
        <v>513</v>
      </c>
      <c r="Q192" s="236">
        <v>288</v>
      </c>
      <c r="R192" s="236">
        <v>576</v>
      </c>
      <c r="S192" s="236">
        <v>864</v>
      </c>
      <c r="T192" s="236">
        <v>1152</v>
      </c>
      <c r="U192" s="236">
        <v>1439</v>
      </c>
      <c r="V192" s="236">
        <v>1725</v>
      </c>
      <c r="W192" s="236">
        <v>2011</v>
      </c>
      <c r="X192" s="236">
        <v>2296</v>
      </c>
      <c r="Y192" s="236">
        <v>2581</v>
      </c>
      <c r="Z192" s="236">
        <v>2864</v>
      </c>
      <c r="AA192" s="236">
        <v>3149</v>
      </c>
      <c r="AB192" s="236">
        <v>3435</v>
      </c>
    </row>
    <row r="193" spans="1:28" ht="12" thickBot="1" x14ac:dyDescent="0.25">
      <c r="B193" s="274" t="s">
        <v>514</v>
      </c>
      <c r="C193" s="275">
        <v>321.05</v>
      </c>
      <c r="D193" s="275">
        <v>320.55</v>
      </c>
      <c r="E193" s="275">
        <v>320.10000000000002</v>
      </c>
      <c r="F193" s="275">
        <v>320.375</v>
      </c>
      <c r="G193" s="275">
        <v>320.54000000000002</v>
      </c>
      <c r="H193" s="275">
        <v>321.14999999999998</v>
      </c>
      <c r="I193" s="275">
        <v>321.44285714285712</v>
      </c>
      <c r="J193" s="275">
        <v>321.55624999999998</v>
      </c>
      <c r="K193" s="275">
        <v>321.64444444444445</v>
      </c>
      <c r="L193" s="275">
        <v>321.61499999999995</v>
      </c>
      <c r="M193" s="275">
        <v>321.77272727272725</v>
      </c>
      <c r="N193" s="275">
        <v>322.29583333333329</v>
      </c>
      <c r="P193" s="236" t="s">
        <v>515</v>
      </c>
      <c r="Q193" s="236">
        <v>7</v>
      </c>
      <c r="R193" s="236">
        <v>14</v>
      </c>
      <c r="S193" s="236">
        <v>22</v>
      </c>
      <c r="T193" s="236">
        <v>30</v>
      </c>
      <c r="U193" s="236">
        <v>38</v>
      </c>
      <c r="V193" s="236">
        <v>46</v>
      </c>
      <c r="W193" s="236">
        <v>54</v>
      </c>
      <c r="X193" s="236">
        <v>63</v>
      </c>
      <c r="Y193" s="236">
        <v>72</v>
      </c>
      <c r="Z193" s="236">
        <v>81</v>
      </c>
      <c r="AA193" s="236">
        <v>90</v>
      </c>
      <c r="AB193" s="236">
        <v>97</v>
      </c>
    </row>
    <row r="194" spans="1:28" x14ac:dyDescent="0.2">
      <c r="P194" s="236" t="s">
        <v>516</v>
      </c>
      <c r="Q194" s="236">
        <v>32</v>
      </c>
      <c r="R194" s="236">
        <v>63</v>
      </c>
      <c r="S194" s="236">
        <v>93</v>
      </c>
      <c r="T194" s="236">
        <v>125</v>
      </c>
      <c r="U194" s="236">
        <v>158</v>
      </c>
      <c r="V194" s="236">
        <v>195</v>
      </c>
      <c r="W194" s="236">
        <v>231</v>
      </c>
      <c r="X194" s="236">
        <v>267</v>
      </c>
      <c r="Y194" s="236">
        <v>303</v>
      </c>
      <c r="Z194" s="236">
        <v>340</v>
      </c>
      <c r="AA194" s="236">
        <v>377</v>
      </c>
      <c r="AB194" s="236">
        <v>418</v>
      </c>
    </row>
    <row r="195" spans="1:28" ht="13.5" customHeight="1" x14ac:dyDescent="0.2"/>
    <row r="197" spans="1:28" ht="18" x14ac:dyDescent="0.25">
      <c r="B197" s="773" t="s">
        <v>517</v>
      </c>
      <c r="C197" s="773"/>
      <c r="D197" s="773"/>
      <c r="E197" s="773"/>
      <c r="F197" s="773"/>
      <c r="G197" s="773"/>
      <c r="H197" s="773"/>
      <c r="I197" s="773"/>
      <c r="J197" s="773"/>
      <c r="K197" s="773"/>
      <c r="L197" s="773"/>
      <c r="M197" s="773"/>
      <c r="N197" s="773"/>
    </row>
    <row r="198" spans="1:28" ht="12" thickBot="1" x14ac:dyDescent="0.25"/>
    <row r="199" spans="1:28" ht="16.5" thickBot="1" x14ac:dyDescent="0.3">
      <c r="B199" s="306" t="s">
        <v>518</v>
      </c>
      <c r="C199" s="768" t="s">
        <v>340</v>
      </c>
      <c r="D199" s="769"/>
      <c r="E199" s="769"/>
      <c r="F199" s="769"/>
      <c r="G199" s="769"/>
      <c r="H199" s="769"/>
      <c r="I199" s="769"/>
      <c r="J199" s="769"/>
      <c r="K199" s="769"/>
      <c r="L199" s="769"/>
      <c r="M199" s="769"/>
      <c r="N199" s="770"/>
      <c r="P199" s="307"/>
    </row>
    <row r="200" spans="1:28" x14ac:dyDescent="0.2">
      <c r="B200" s="239"/>
      <c r="C200" s="771" t="s">
        <v>341</v>
      </c>
      <c r="D200" s="771" t="s">
        <v>342</v>
      </c>
      <c r="E200" s="771" t="s">
        <v>343</v>
      </c>
      <c r="F200" s="771" t="s">
        <v>344</v>
      </c>
      <c r="G200" s="771" t="s">
        <v>345</v>
      </c>
      <c r="H200" s="771" t="s">
        <v>346</v>
      </c>
      <c r="I200" s="771" t="s">
        <v>347</v>
      </c>
      <c r="J200" s="771" t="s">
        <v>348</v>
      </c>
      <c r="K200" s="771" t="s">
        <v>349</v>
      </c>
      <c r="L200" s="771" t="s">
        <v>350</v>
      </c>
      <c r="M200" s="771" t="s">
        <v>351</v>
      </c>
      <c r="N200" s="771" t="s">
        <v>352</v>
      </c>
    </row>
    <row r="201" spans="1:28" ht="12.75" thickBot="1" x14ac:dyDescent="0.25">
      <c r="B201" s="240" t="s">
        <v>353</v>
      </c>
      <c r="C201" s="772"/>
      <c r="D201" s="772"/>
      <c r="E201" s="772"/>
      <c r="F201" s="772"/>
      <c r="G201" s="772"/>
      <c r="H201" s="772"/>
      <c r="I201" s="772"/>
      <c r="J201" s="772"/>
      <c r="K201" s="772"/>
      <c r="L201" s="772"/>
      <c r="M201" s="772"/>
      <c r="N201" s="772"/>
    </row>
    <row r="202" spans="1:28" x14ac:dyDescent="0.2">
      <c r="B202" s="308" t="s">
        <v>519</v>
      </c>
      <c r="C202" s="245">
        <v>95</v>
      </c>
      <c r="D202" s="245">
        <v>95</v>
      </c>
      <c r="E202" s="245">
        <v>95</v>
      </c>
      <c r="F202" s="245">
        <v>95</v>
      </c>
      <c r="G202" s="245">
        <v>95</v>
      </c>
      <c r="H202" s="245">
        <v>95</v>
      </c>
      <c r="I202" s="245">
        <v>95</v>
      </c>
      <c r="J202" s="245">
        <v>95</v>
      </c>
      <c r="K202" s="245">
        <v>95</v>
      </c>
      <c r="L202" s="245">
        <v>95</v>
      </c>
      <c r="M202" s="245">
        <v>94</v>
      </c>
      <c r="N202" s="279">
        <v>94</v>
      </c>
    </row>
    <row r="203" spans="1:28" x14ac:dyDescent="0.2">
      <c r="B203" s="309" t="s">
        <v>520</v>
      </c>
      <c r="C203" s="245">
        <v>4</v>
      </c>
      <c r="D203" s="245">
        <v>4</v>
      </c>
      <c r="E203" s="245">
        <v>4</v>
      </c>
      <c r="F203" s="245">
        <v>4</v>
      </c>
      <c r="G203" s="245">
        <v>3</v>
      </c>
      <c r="H203" s="245">
        <v>3</v>
      </c>
      <c r="I203" s="245">
        <v>3</v>
      </c>
      <c r="J203" s="245">
        <v>3</v>
      </c>
      <c r="K203" s="245">
        <v>1</v>
      </c>
      <c r="L203" s="245">
        <v>0</v>
      </c>
      <c r="M203" s="245">
        <v>0</v>
      </c>
      <c r="N203" s="253">
        <v>0</v>
      </c>
    </row>
    <row r="204" spans="1:28" ht="12" thickBot="1" x14ac:dyDescent="0.25">
      <c r="A204" s="310"/>
      <c r="B204" s="309" t="s">
        <v>521</v>
      </c>
      <c r="C204" s="245">
        <v>1</v>
      </c>
      <c r="D204" s="245">
        <v>1</v>
      </c>
      <c r="E204" s="245">
        <v>2</v>
      </c>
      <c r="F204" s="245">
        <v>2</v>
      </c>
      <c r="G204" s="245">
        <v>2</v>
      </c>
      <c r="H204" s="245">
        <v>3</v>
      </c>
      <c r="I204" s="245">
        <v>4</v>
      </c>
      <c r="J204" s="245">
        <v>3</v>
      </c>
      <c r="K204" s="245">
        <v>4</v>
      </c>
      <c r="L204" s="245">
        <v>3</v>
      </c>
      <c r="M204" s="245">
        <v>3</v>
      </c>
      <c r="N204" s="248">
        <v>3</v>
      </c>
    </row>
    <row r="205" spans="1:28" ht="12" thickBot="1" x14ac:dyDescent="0.25">
      <c r="A205" s="311"/>
      <c r="B205" s="249" t="s">
        <v>522</v>
      </c>
      <c r="C205" s="251">
        <v>96.6</v>
      </c>
      <c r="D205" s="255">
        <v>96.6</v>
      </c>
      <c r="E205" s="255">
        <v>97.6</v>
      </c>
      <c r="F205" s="255">
        <v>97.6</v>
      </c>
      <c r="G205" s="255">
        <v>97.45</v>
      </c>
      <c r="H205" s="255">
        <v>98.45</v>
      </c>
      <c r="I205" s="255">
        <v>99.45</v>
      </c>
      <c r="J205" s="255">
        <v>98.45</v>
      </c>
      <c r="K205" s="255">
        <v>99.15</v>
      </c>
      <c r="L205" s="255">
        <v>98</v>
      </c>
      <c r="M205" s="255">
        <v>97</v>
      </c>
      <c r="N205" s="255">
        <v>97</v>
      </c>
      <c r="O205" s="252">
        <v>97.779166666666654</v>
      </c>
    </row>
    <row r="206" spans="1:28" x14ac:dyDescent="0.2">
      <c r="A206" s="312"/>
      <c r="B206" s="313" t="s">
        <v>523</v>
      </c>
      <c r="C206" s="243">
        <v>95</v>
      </c>
      <c r="D206" s="243">
        <v>95</v>
      </c>
      <c r="E206" s="243">
        <v>95</v>
      </c>
      <c r="F206" s="243">
        <v>95</v>
      </c>
      <c r="G206" s="243">
        <v>95</v>
      </c>
      <c r="H206" s="243">
        <v>95</v>
      </c>
      <c r="I206" s="243">
        <v>95</v>
      </c>
      <c r="J206" s="243">
        <v>95</v>
      </c>
      <c r="K206" s="243">
        <v>95</v>
      </c>
      <c r="L206" s="243">
        <v>95</v>
      </c>
      <c r="M206" s="243">
        <v>94</v>
      </c>
      <c r="N206" s="243">
        <v>94</v>
      </c>
    </row>
    <row r="207" spans="1:28" x14ac:dyDescent="0.2">
      <c r="A207" s="312"/>
      <c r="B207" s="314" t="s">
        <v>524</v>
      </c>
      <c r="C207" s="315">
        <v>4</v>
      </c>
      <c r="D207" s="315">
        <v>4</v>
      </c>
      <c r="E207" s="315">
        <v>4</v>
      </c>
      <c r="F207" s="315">
        <v>4</v>
      </c>
      <c r="G207" s="315">
        <v>3</v>
      </c>
      <c r="H207" s="315">
        <v>3</v>
      </c>
      <c r="I207" s="315">
        <v>3</v>
      </c>
      <c r="J207" s="315">
        <v>3</v>
      </c>
      <c r="K207" s="315">
        <v>1</v>
      </c>
      <c r="L207" s="315">
        <v>0</v>
      </c>
      <c r="M207" s="315">
        <v>0</v>
      </c>
      <c r="N207" s="315">
        <v>0</v>
      </c>
    </row>
    <row r="208" spans="1:28" ht="12" thickBot="1" x14ac:dyDescent="0.25">
      <c r="A208" s="237"/>
      <c r="B208" s="314" t="s">
        <v>525</v>
      </c>
      <c r="C208" s="298">
        <v>1</v>
      </c>
      <c r="D208" s="298">
        <v>1</v>
      </c>
      <c r="E208" s="298">
        <v>2</v>
      </c>
      <c r="F208" s="298">
        <v>2</v>
      </c>
      <c r="G208" s="298">
        <v>2</v>
      </c>
      <c r="H208" s="298">
        <v>3</v>
      </c>
      <c r="I208" s="298">
        <v>4</v>
      </c>
      <c r="J208" s="298">
        <v>3</v>
      </c>
      <c r="K208" s="298">
        <v>4</v>
      </c>
      <c r="L208" s="298">
        <v>3</v>
      </c>
      <c r="M208" s="298">
        <v>3</v>
      </c>
      <c r="N208" s="298">
        <v>3</v>
      </c>
    </row>
    <row r="209" spans="1:28" ht="12" thickBot="1" x14ac:dyDescent="0.25">
      <c r="A209" s="316"/>
      <c r="B209" s="258" t="s">
        <v>526</v>
      </c>
      <c r="C209" s="251">
        <v>96.6</v>
      </c>
      <c r="D209" s="255">
        <v>96.6</v>
      </c>
      <c r="E209" s="255">
        <v>97.6</v>
      </c>
      <c r="F209" s="255">
        <v>97.6</v>
      </c>
      <c r="G209" s="255">
        <v>97.45</v>
      </c>
      <c r="H209" s="255">
        <v>98.45</v>
      </c>
      <c r="I209" s="255">
        <v>99.45</v>
      </c>
      <c r="J209" s="255">
        <v>98.45</v>
      </c>
      <c r="K209" s="255">
        <v>99.15</v>
      </c>
      <c r="L209" s="255">
        <v>98</v>
      </c>
      <c r="M209" s="255">
        <v>97</v>
      </c>
      <c r="N209" s="255">
        <v>97</v>
      </c>
      <c r="O209" s="252">
        <v>97.779166666666654</v>
      </c>
      <c r="P209" s="265" t="s">
        <v>527</v>
      </c>
      <c r="Q209" s="236">
        <v>95</v>
      </c>
      <c r="R209" s="236">
        <v>95</v>
      </c>
      <c r="S209" s="236">
        <v>95</v>
      </c>
      <c r="T209" s="236">
        <v>95</v>
      </c>
      <c r="U209" s="236">
        <v>95</v>
      </c>
      <c r="V209" s="236">
        <v>95</v>
      </c>
      <c r="W209" s="236">
        <v>95</v>
      </c>
      <c r="X209" s="236">
        <v>95</v>
      </c>
      <c r="Y209" s="236">
        <v>95</v>
      </c>
      <c r="Z209" s="236">
        <v>95</v>
      </c>
      <c r="AA209" s="236">
        <v>94</v>
      </c>
      <c r="AB209" s="236">
        <v>94</v>
      </c>
    </row>
    <row r="210" spans="1:28" x14ac:dyDescent="0.2">
      <c r="A210" s="316"/>
      <c r="B210" s="317" t="s">
        <v>528</v>
      </c>
      <c r="C210" s="299">
        <v>95</v>
      </c>
      <c r="D210" s="268">
        <v>95</v>
      </c>
      <c r="E210" s="268">
        <v>95</v>
      </c>
      <c r="F210" s="268">
        <v>95</v>
      </c>
      <c r="G210" s="268">
        <v>95</v>
      </c>
      <c r="H210" s="268">
        <v>95</v>
      </c>
      <c r="I210" s="268">
        <v>95</v>
      </c>
      <c r="J210" s="268">
        <v>95</v>
      </c>
      <c r="K210" s="268">
        <v>95</v>
      </c>
      <c r="L210" s="268">
        <v>95</v>
      </c>
      <c r="M210" s="268">
        <v>94.909090909090907</v>
      </c>
      <c r="N210" s="268">
        <v>94.833333333333329</v>
      </c>
      <c r="P210" s="265" t="s">
        <v>529</v>
      </c>
      <c r="Q210" s="236">
        <v>4</v>
      </c>
      <c r="R210" s="236">
        <v>4</v>
      </c>
      <c r="S210" s="236">
        <v>4</v>
      </c>
      <c r="T210" s="236">
        <v>4</v>
      </c>
      <c r="U210" s="236">
        <v>3</v>
      </c>
      <c r="V210" s="236">
        <v>3</v>
      </c>
      <c r="W210" s="236">
        <v>3</v>
      </c>
      <c r="X210" s="236">
        <v>3</v>
      </c>
      <c r="Y210" s="236">
        <v>1</v>
      </c>
      <c r="Z210" s="236">
        <v>0</v>
      </c>
      <c r="AA210" s="236">
        <v>0</v>
      </c>
      <c r="AB210" s="236">
        <v>0</v>
      </c>
    </row>
    <row r="211" spans="1:28" x14ac:dyDescent="0.2">
      <c r="A211" s="316"/>
      <c r="B211" s="317" t="s">
        <v>530</v>
      </c>
      <c r="C211" s="305">
        <v>4</v>
      </c>
      <c r="D211" s="272">
        <v>4</v>
      </c>
      <c r="E211" s="272">
        <v>4</v>
      </c>
      <c r="F211" s="272">
        <v>4</v>
      </c>
      <c r="G211" s="272">
        <v>3.8</v>
      </c>
      <c r="H211" s="272">
        <v>3.6666666666666665</v>
      </c>
      <c r="I211" s="272">
        <v>3.5714285714285716</v>
      </c>
      <c r="J211" s="272">
        <v>3.5</v>
      </c>
      <c r="K211" s="272">
        <v>3.2222222222222223</v>
      </c>
      <c r="L211" s="272">
        <v>2.9</v>
      </c>
      <c r="M211" s="272">
        <v>2.6363636363636362</v>
      </c>
      <c r="N211" s="272">
        <v>2.4166666666666665</v>
      </c>
      <c r="P211" s="265" t="s">
        <v>531</v>
      </c>
      <c r="Q211" s="236">
        <v>1</v>
      </c>
      <c r="R211" s="236">
        <v>1</v>
      </c>
      <c r="S211" s="236">
        <v>2</v>
      </c>
      <c r="T211" s="236">
        <v>2</v>
      </c>
      <c r="U211" s="236">
        <v>2</v>
      </c>
      <c r="V211" s="236">
        <v>3</v>
      </c>
      <c r="W211" s="236">
        <v>4</v>
      </c>
      <c r="X211" s="236">
        <v>3</v>
      </c>
      <c r="Y211" s="236">
        <v>4</v>
      </c>
      <c r="Z211" s="236">
        <v>3</v>
      </c>
      <c r="AA211" s="236">
        <v>3</v>
      </c>
      <c r="AB211" s="236">
        <v>3</v>
      </c>
    </row>
    <row r="212" spans="1:28" ht="12" thickBot="1" x14ac:dyDescent="0.25">
      <c r="A212" s="316"/>
      <c r="B212" s="317" t="s">
        <v>532</v>
      </c>
      <c r="C212" s="318">
        <v>1</v>
      </c>
      <c r="D212" s="272">
        <v>1</v>
      </c>
      <c r="E212" s="272">
        <v>1.3333333333333333</v>
      </c>
      <c r="F212" s="272">
        <v>1.5</v>
      </c>
      <c r="G212" s="272">
        <v>1.6</v>
      </c>
      <c r="H212" s="273">
        <v>1.8333333333333333</v>
      </c>
      <c r="I212" s="273">
        <v>2.1428571428571428</v>
      </c>
      <c r="J212" s="273">
        <v>2.25</v>
      </c>
      <c r="K212" s="273">
        <v>2.4444444444444446</v>
      </c>
      <c r="L212" s="273">
        <v>2.5</v>
      </c>
      <c r="M212" s="273">
        <v>2.5454545454545454</v>
      </c>
      <c r="N212" s="272">
        <v>2.5833333333333335</v>
      </c>
      <c r="P212" s="236" t="s">
        <v>533</v>
      </c>
      <c r="Q212" s="236">
        <v>95</v>
      </c>
      <c r="R212" s="236">
        <v>190</v>
      </c>
      <c r="S212" s="236">
        <v>285</v>
      </c>
      <c r="T212" s="236">
        <v>380</v>
      </c>
      <c r="U212" s="236">
        <v>475</v>
      </c>
      <c r="V212" s="236">
        <v>570</v>
      </c>
      <c r="W212" s="236">
        <v>665</v>
      </c>
      <c r="X212" s="236">
        <v>760</v>
      </c>
      <c r="Y212" s="236">
        <v>855</v>
      </c>
      <c r="Z212" s="236">
        <v>950</v>
      </c>
      <c r="AA212" s="236">
        <v>1044</v>
      </c>
      <c r="AB212" s="236">
        <v>1138</v>
      </c>
    </row>
    <row r="213" spans="1:28" ht="12" thickBot="1" x14ac:dyDescent="0.25">
      <c r="B213" s="319" t="s">
        <v>534</v>
      </c>
      <c r="C213" s="275">
        <v>96.6</v>
      </c>
      <c r="D213" s="275">
        <v>96.6</v>
      </c>
      <c r="E213" s="275">
        <v>96.933333333333323</v>
      </c>
      <c r="F213" s="275">
        <v>97.1</v>
      </c>
      <c r="G213" s="275">
        <v>97.169999999999987</v>
      </c>
      <c r="H213" s="275">
        <v>97.383333333333326</v>
      </c>
      <c r="I213" s="275">
        <v>97.678571428571431</v>
      </c>
      <c r="J213" s="275">
        <v>97.775000000000006</v>
      </c>
      <c r="K213" s="275">
        <v>97.927777777777777</v>
      </c>
      <c r="L213" s="275">
        <v>97.935000000000002</v>
      </c>
      <c r="M213" s="275">
        <v>97.85</v>
      </c>
      <c r="N213" s="275">
        <v>97.779166666666654</v>
      </c>
      <c r="P213" s="236" t="s">
        <v>535</v>
      </c>
      <c r="Q213" s="236">
        <v>4</v>
      </c>
      <c r="R213" s="236">
        <v>8</v>
      </c>
      <c r="S213" s="236">
        <v>12</v>
      </c>
      <c r="T213" s="236">
        <v>16</v>
      </c>
      <c r="U213" s="236">
        <v>19</v>
      </c>
      <c r="V213" s="236">
        <v>22</v>
      </c>
      <c r="W213" s="236">
        <v>25</v>
      </c>
      <c r="X213" s="236">
        <v>28</v>
      </c>
      <c r="Y213" s="236">
        <v>29</v>
      </c>
      <c r="Z213" s="236">
        <v>29</v>
      </c>
      <c r="AA213" s="236">
        <v>29</v>
      </c>
      <c r="AB213" s="236">
        <v>29</v>
      </c>
    </row>
    <row r="214" spans="1:28" x14ac:dyDescent="0.2">
      <c r="P214" s="236" t="s">
        <v>536</v>
      </c>
      <c r="Q214" s="236">
        <v>1</v>
      </c>
      <c r="R214" s="236">
        <v>2</v>
      </c>
      <c r="S214" s="236">
        <v>4</v>
      </c>
      <c r="T214" s="236">
        <v>6</v>
      </c>
      <c r="U214" s="236">
        <v>8</v>
      </c>
      <c r="V214" s="236">
        <v>11</v>
      </c>
      <c r="W214" s="236">
        <v>15</v>
      </c>
      <c r="X214" s="236">
        <v>18</v>
      </c>
      <c r="Y214" s="236">
        <v>22</v>
      </c>
      <c r="Z214" s="236">
        <v>25</v>
      </c>
      <c r="AA214" s="236">
        <v>28</v>
      </c>
      <c r="AB214" s="236">
        <v>31</v>
      </c>
    </row>
    <row r="215" spans="1:28" x14ac:dyDescent="0.2">
      <c r="B215" s="293"/>
      <c r="C215" s="294"/>
      <c r="D215" s="295"/>
      <c r="E215" s="295"/>
      <c r="F215" s="295"/>
    </row>
    <row r="218" spans="1:28" x14ac:dyDescent="0.2">
      <c r="A218" s="292"/>
    </row>
    <row r="219" spans="1:28" ht="18" x14ac:dyDescent="0.25">
      <c r="B219" s="773" t="s">
        <v>537</v>
      </c>
      <c r="C219" s="773"/>
      <c r="D219" s="773"/>
      <c r="E219" s="773"/>
      <c r="F219" s="773"/>
      <c r="G219" s="773"/>
      <c r="H219" s="773"/>
      <c r="I219" s="773"/>
      <c r="J219" s="773"/>
      <c r="K219" s="773"/>
      <c r="L219" s="773"/>
      <c r="M219" s="773"/>
      <c r="N219" s="773"/>
    </row>
    <row r="220" spans="1:28" ht="12" thickBot="1" x14ac:dyDescent="0.25"/>
    <row r="221" spans="1:28" ht="16.5" thickBot="1" x14ac:dyDescent="0.3">
      <c r="B221" s="320" t="s">
        <v>12</v>
      </c>
      <c r="C221" s="768" t="s">
        <v>340</v>
      </c>
      <c r="D221" s="769"/>
      <c r="E221" s="769"/>
      <c r="F221" s="769"/>
      <c r="G221" s="769"/>
      <c r="H221" s="769"/>
      <c r="I221" s="769"/>
      <c r="J221" s="769"/>
      <c r="K221" s="769"/>
      <c r="L221" s="769"/>
      <c r="M221" s="769"/>
      <c r="N221" s="770"/>
    </row>
    <row r="222" spans="1:28" ht="15.75" x14ac:dyDescent="0.25">
      <c r="B222" s="321"/>
      <c r="C222" s="771" t="s">
        <v>341</v>
      </c>
      <c r="D222" s="771" t="s">
        <v>342</v>
      </c>
      <c r="E222" s="771" t="s">
        <v>343</v>
      </c>
      <c r="F222" s="771" t="s">
        <v>344</v>
      </c>
      <c r="G222" s="771" t="s">
        <v>345</v>
      </c>
      <c r="H222" s="771" t="s">
        <v>346</v>
      </c>
      <c r="I222" s="771" t="s">
        <v>347</v>
      </c>
      <c r="J222" s="771" t="s">
        <v>348</v>
      </c>
      <c r="K222" s="771" t="s">
        <v>349</v>
      </c>
      <c r="L222" s="771" t="s">
        <v>350</v>
      </c>
      <c r="M222" s="771" t="s">
        <v>351</v>
      </c>
      <c r="N222" s="771" t="s">
        <v>352</v>
      </c>
    </row>
    <row r="223" spans="1:28" ht="12.75" thickBot="1" x14ac:dyDescent="0.25">
      <c r="B223" s="240" t="s">
        <v>353</v>
      </c>
      <c r="C223" s="772"/>
      <c r="D223" s="772"/>
      <c r="E223" s="772"/>
      <c r="F223" s="772"/>
      <c r="G223" s="772"/>
      <c r="H223" s="772"/>
      <c r="I223" s="772"/>
      <c r="J223" s="772"/>
      <c r="K223" s="772"/>
      <c r="L223" s="772"/>
      <c r="M223" s="772"/>
      <c r="N223" s="772"/>
    </row>
    <row r="224" spans="1:28" x14ac:dyDescent="0.2">
      <c r="B224" s="279" t="s">
        <v>538</v>
      </c>
      <c r="C224" s="243">
        <v>1236</v>
      </c>
      <c r="D224" s="243">
        <v>1236</v>
      </c>
      <c r="E224" s="243">
        <v>1233</v>
      </c>
      <c r="F224" s="243">
        <v>1234</v>
      </c>
      <c r="G224" s="243">
        <v>1231</v>
      </c>
      <c r="H224" s="243">
        <v>1230</v>
      </c>
      <c r="I224" s="243">
        <v>1228</v>
      </c>
      <c r="J224" s="243">
        <v>1226</v>
      </c>
      <c r="K224" s="243">
        <v>1225</v>
      </c>
      <c r="L224" s="243">
        <v>1221</v>
      </c>
      <c r="M224" s="243">
        <v>1222</v>
      </c>
      <c r="N224" s="243">
        <v>1192</v>
      </c>
    </row>
    <row r="225" spans="1:28" x14ac:dyDescent="0.2">
      <c r="B225" s="253" t="s">
        <v>539</v>
      </c>
      <c r="C225" s="253">
        <v>62</v>
      </c>
      <c r="D225" s="253">
        <v>62</v>
      </c>
      <c r="E225" s="253">
        <v>61</v>
      </c>
      <c r="F225" s="253">
        <v>60</v>
      </c>
      <c r="G225" s="253">
        <v>59</v>
      </c>
      <c r="H225" s="253">
        <v>57</v>
      </c>
      <c r="I225" s="253">
        <v>54</v>
      </c>
      <c r="J225" s="253">
        <v>53</v>
      </c>
      <c r="K225" s="253">
        <v>44</v>
      </c>
      <c r="L225" s="253">
        <v>41</v>
      </c>
      <c r="M225" s="253">
        <v>39</v>
      </c>
      <c r="N225" s="253">
        <v>51</v>
      </c>
    </row>
    <row r="226" spans="1:28" ht="12" thickBot="1" x14ac:dyDescent="0.25">
      <c r="B226" s="253" t="s">
        <v>540</v>
      </c>
      <c r="C226" s="298">
        <v>113</v>
      </c>
      <c r="D226" s="298">
        <v>122</v>
      </c>
      <c r="E226" s="298">
        <v>122</v>
      </c>
      <c r="F226" s="298">
        <v>133</v>
      </c>
      <c r="G226" s="298">
        <v>133</v>
      </c>
      <c r="H226" s="298">
        <v>155</v>
      </c>
      <c r="I226" s="298">
        <v>157</v>
      </c>
      <c r="J226" s="298">
        <v>151</v>
      </c>
      <c r="K226" s="298">
        <v>152</v>
      </c>
      <c r="L226" s="298">
        <v>141</v>
      </c>
      <c r="M226" s="298">
        <v>138</v>
      </c>
      <c r="N226" s="298">
        <v>121</v>
      </c>
    </row>
    <row r="227" spans="1:28" ht="12" thickBot="1" x14ac:dyDescent="0.25">
      <c r="B227" s="249" t="s">
        <v>541</v>
      </c>
      <c r="C227" s="251">
        <v>1358.3</v>
      </c>
      <c r="D227" s="255">
        <v>1367.3</v>
      </c>
      <c r="E227" s="255">
        <v>1364.15</v>
      </c>
      <c r="F227" s="255">
        <v>1376</v>
      </c>
      <c r="G227" s="255">
        <v>1372.85</v>
      </c>
      <c r="H227" s="255">
        <v>1393.55</v>
      </c>
      <c r="I227" s="255">
        <v>1393.1</v>
      </c>
      <c r="J227" s="255">
        <v>1384.95</v>
      </c>
      <c r="K227" s="255">
        <v>1383.6</v>
      </c>
      <c r="L227" s="255">
        <v>1368.15</v>
      </c>
      <c r="M227" s="255">
        <v>1365.85</v>
      </c>
      <c r="N227" s="255">
        <v>1320.65</v>
      </c>
      <c r="P227" s="265" t="s">
        <v>542</v>
      </c>
      <c r="Q227" s="236">
        <v>1236</v>
      </c>
      <c r="R227" s="236">
        <v>1236</v>
      </c>
      <c r="S227" s="236">
        <v>1233</v>
      </c>
      <c r="T227" s="236">
        <v>1234</v>
      </c>
      <c r="U227" s="236">
        <v>1231</v>
      </c>
      <c r="V227" s="236">
        <v>1230</v>
      </c>
      <c r="W227" s="236">
        <v>1228</v>
      </c>
      <c r="X227" s="236">
        <v>1226</v>
      </c>
      <c r="Y227" s="236">
        <v>1225</v>
      </c>
      <c r="Z227" s="236">
        <v>1221</v>
      </c>
      <c r="AA227" s="236">
        <v>1222</v>
      </c>
      <c r="AB227" s="236">
        <v>1192</v>
      </c>
    </row>
    <row r="228" spans="1:28" x14ac:dyDescent="0.2">
      <c r="B228" s="270" t="s">
        <v>543</v>
      </c>
      <c r="C228" s="271">
        <v>1236</v>
      </c>
      <c r="D228" s="268">
        <v>1236</v>
      </c>
      <c r="E228" s="268">
        <v>1235</v>
      </c>
      <c r="F228" s="268">
        <v>1234.75</v>
      </c>
      <c r="G228" s="268">
        <v>1234</v>
      </c>
      <c r="H228" s="268">
        <v>1233.3333333333333</v>
      </c>
      <c r="I228" s="268">
        <v>1232.5714285714287</v>
      </c>
      <c r="J228" s="268">
        <v>1231.75</v>
      </c>
      <c r="K228" s="268">
        <v>1231</v>
      </c>
      <c r="L228" s="268">
        <v>1230</v>
      </c>
      <c r="M228" s="268">
        <v>1229.2727272727273</v>
      </c>
      <c r="N228" s="268">
        <v>1226.1666666666667</v>
      </c>
      <c r="P228" s="265" t="s">
        <v>544</v>
      </c>
      <c r="Q228" s="236">
        <v>62</v>
      </c>
      <c r="R228" s="236">
        <v>62</v>
      </c>
      <c r="S228" s="236">
        <v>61</v>
      </c>
      <c r="T228" s="236">
        <v>60</v>
      </c>
      <c r="U228" s="236">
        <v>59</v>
      </c>
      <c r="V228" s="236">
        <v>57</v>
      </c>
      <c r="W228" s="236">
        <v>54</v>
      </c>
      <c r="X228" s="236">
        <v>53</v>
      </c>
      <c r="Y228" s="236">
        <v>44</v>
      </c>
      <c r="Z228" s="236">
        <v>41</v>
      </c>
      <c r="AA228" s="236">
        <v>39</v>
      </c>
      <c r="AB228" s="236">
        <v>51</v>
      </c>
    </row>
    <row r="229" spans="1:28" x14ac:dyDescent="0.2">
      <c r="B229" s="270" t="s">
        <v>545</v>
      </c>
      <c r="C229" s="271">
        <v>62</v>
      </c>
      <c r="D229" s="272">
        <v>62</v>
      </c>
      <c r="E229" s="272">
        <v>61.666666666666664</v>
      </c>
      <c r="F229" s="272">
        <v>61.25</v>
      </c>
      <c r="G229" s="272">
        <v>60.8</v>
      </c>
      <c r="H229" s="272">
        <v>60.166666666666664</v>
      </c>
      <c r="I229" s="272">
        <v>59.285714285714285</v>
      </c>
      <c r="J229" s="272">
        <v>58.5</v>
      </c>
      <c r="K229" s="272">
        <v>56.888888888888886</v>
      </c>
      <c r="L229" s="272">
        <v>55.3</v>
      </c>
      <c r="M229" s="272">
        <v>53.81818181818182</v>
      </c>
      <c r="N229" s="272">
        <v>53.583333333333336</v>
      </c>
      <c r="P229" s="265" t="s">
        <v>546</v>
      </c>
      <c r="Q229" s="236">
        <v>113</v>
      </c>
      <c r="R229" s="236">
        <v>122</v>
      </c>
      <c r="S229" s="236">
        <v>122</v>
      </c>
      <c r="T229" s="236">
        <v>133</v>
      </c>
      <c r="U229" s="236">
        <v>133</v>
      </c>
      <c r="V229" s="236">
        <v>155</v>
      </c>
      <c r="W229" s="236">
        <v>157</v>
      </c>
      <c r="X229" s="236">
        <v>151</v>
      </c>
      <c r="Y229" s="236">
        <v>152</v>
      </c>
      <c r="Z229" s="236">
        <v>141</v>
      </c>
      <c r="AA229" s="236">
        <v>138</v>
      </c>
      <c r="AB229" s="236">
        <v>121</v>
      </c>
    </row>
    <row r="230" spans="1:28" ht="12" thickBot="1" x14ac:dyDescent="0.25">
      <c r="B230" s="270" t="s">
        <v>547</v>
      </c>
      <c r="C230" s="271">
        <v>113</v>
      </c>
      <c r="D230" s="272">
        <v>117.5</v>
      </c>
      <c r="E230" s="272">
        <v>119</v>
      </c>
      <c r="F230" s="272">
        <v>122.5</v>
      </c>
      <c r="G230" s="272">
        <v>124.6</v>
      </c>
      <c r="H230" s="273">
        <v>129.66666666666666</v>
      </c>
      <c r="I230" s="273">
        <v>133.57142857142858</v>
      </c>
      <c r="J230" s="273">
        <v>135.75</v>
      </c>
      <c r="K230" s="273">
        <v>137.55555555555554</v>
      </c>
      <c r="L230" s="273">
        <v>137.9</v>
      </c>
      <c r="M230" s="273">
        <v>137.90909090909091</v>
      </c>
      <c r="N230" s="272">
        <v>136.5</v>
      </c>
      <c r="P230" s="236" t="s">
        <v>548</v>
      </c>
      <c r="Q230" s="236">
        <v>1236</v>
      </c>
      <c r="R230" s="236">
        <v>2472</v>
      </c>
      <c r="S230" s="236">
        <v>3705</v>
      </c>
      <c r="T230" s="236">
        <v>4939</v>
      </c>
      <c r="U230" s="236">
        <v>6170</v>
      </c>
      <c r="V230" s="236">
        <v>7400</v>
      </c>
      <c r="W230" s="236">
        <v>8628</v>
      </c>
      <c r="X230" s="236">
        <v>9854</v>
      </c>
      <c r="Y230" s="236">
        <v>11079</v>
      </c>
      <c r="Z230" s="236">
        <v>12300</v>
      </c>
      <c r="AA230" s="236">
        <v>13522</v>
      </c>
      <c r="AB230" s="236">
        <v>14714</v>
      </c>
    </row>
    <row r="231" spans="1:28" ht="12" thickBot="1" x14ac:dyDescent="0.25">
      <c r="B231" s="274" t="s">
        <v>549</v>
      </c>
      <c r="C231" s="275">
        <v>1358.3</v>
      </c>
      <c r="D231" s="275">
        <v>1362.8</v>
      </c>
      <c r="E231" s="275">
        <v>1363.25</v>
      </c>
      <c r="F231" s="275">
        <v>1366.4375</v>
      </c>
      <c r="G231" s="275">
        <v>1367.7199999999998</v>
      </c>
      <c r="H231" s="275">
        <v>1372.0250000000001</v>
      </c>
      <c r="I231" s="275">
        <v>1375.0357142857144</v>
      </c>
      <c r="J231" s="275">
        <v>1376.2750000000001</v>
      </c>
      <c r="K231" s="275">
        <v>1377.088888888889</v>
      </c>
      <c r="L231" s="275">
        <v>1376.1950000000002</v>
      </c>
      <c r="M231" s="275">
        <v>1375.2545454545455</v>
      </c>
      <c r="N231" s="275">
        <v>1370.7041666666667</v>
      </c>
      <c r="P231" s="236" t="s">
        <v>550</v>
      </c>
      <c r="Q231" s="236">
        <v>62</v>
      </c>
      <c r="R231" s="236">
        <v>124</v>
      </c>
      <c r="S231" s="236">
        <v>185</v>
      </c>
      <c r="T231" s="236">
        <v>245</v>
      </c>
      <c r="U231" s="236">
        <v>304</v>
      </c>
      <c r="V231" s="236">
        <v>361</v>
      </c>
      <c r="W231" s="236">
        <v>415</v>
      </c>
      <c r="X231" s="236">
        <v>468</v>
      </c>
      <c r="Y231" s="236">
        <v>512</v>
      </c>
      <c r="Z231" s="236">
        <v>553</v>
      </c>
      <c r="AA231" s="236">
        <v>592</v>
      </c>
      <c r="AB231" s="236">
        <v>643</v>
      </c>
    </row>
    <row r="232" spans="1:28" x14ac:dyDescent="0.2">
      <c r="A232" s="265"/>
      <c r="B232" s="322" t="s">
        <v>551</v>
      </c>
      <c r="C232" s="323">
        <v>1236</v>
      </c>
      <c r="D232" s="323">
        <v>1236</v>
      </c>
      <c r="E232" s="323">
        <v>1233</v>
      </c>
      <c r="F232" s="323">
        <v>1234</v>
      </c>
      <c r="G232" s="323">
        <v>1231</v>
      </c>
      <c r="H232" s="323">
        <v>1230</v>
      </c>
      <c r="I232" s="323">
        <v>1228</v>
      </c>
      <c r="J232" s="323">
        <v>1226</v>
      </c>
      <c r="K232" s="323">
        <v>1225</v>
      </c>
      <c r="L232" s="323">
        <v>1221</v>
      </c>
      <c r="M232" s="323">
        <v>1222</v>
      </c>
      <c r="N232" s="323">
        <v>1192</v>
      </c>
      <c r="P232" s="236" t="s">
        <v>552</v>
      </c>
      <c r="Q232" s="236">
        <v>113</v>
      </c>
      <c r="R232" s="236">
        <v>235</v>
      </c>
      <c r="S232" s="236">
        <v>357</v>
      </c>
      <c r="T232" s="236">
        <v>490</v>
      </c>
      <c r="U232" s="236">
        <v>623</v>
      </c>
      <c r="V232" s="236">
        <v>778</v>
      </c>
      <c r="W232" s="236">
        <v>935</v>
      </c>
      <c r="X232" s="236">
        <v>1086</v>
      </c>
      <c r="Y232" s="236">
        <v>1238</v>
      </c>
      <c r="Z232" s="236">
        <v>1379</v>
      </c>
      <c r="AA232" s="236">
        <v>1517</v>
      </c>
      <c r="AB232" s="236">
        <v>1638</v>
      </c>
    </row>
    <row r="233" spans="1:28" x14ac:dyDescent="0.2">
      <c r="A233" s="265"/>
      <c r="B233" s="322" t="s">
        <v>553</v>
      </c>
      <c r="C233" s="323">
        <v>62</v>
      </c>
      <c r="D233" s="323">
        <v>62</v>
      </c>
      <c r="E233" s="323">
        <v>61</v>
      </c>
      <c r="F233" s="323">
        <v>60</v>
      </c>
      <c r="G233" s="323">
        <v>59</v>
      </c>
      <c r="H233" s="323">
        <v>57</v>
      </c>
      <c r="I233" s="323">
        <v>54</v>
      </c>
      <c r="J233" s="323">
        <v>53</v>
      </c>
      <c r="K233" s="323">
        <v>44</v>
      </c>
      <c r="L233" s="323">
        <v>41</v>
      </c>
      <c r="M233" s="323">
        <v>39</v>
      </c>
      <c r="N233" s="323">
        <v>51</v>
      </c>
    </row>
    <row r="234" spans="1:28" x14ac:dyDescent="0.2">
      <c r="A234" s="265"/>
      <c r="B234" s="322" t="s">
        <v>554</v>
      </c>
      <c r="C234" s="323">
        <v>113</v>
      </c>
      <c r="D234" s="323">
        <v>122</v>
      </c>
      <c r="E234" s="323">
        <v>122</v>
      </c>
      <c r="F234" s="323">
        <v>133</v>
      </c>
      <c r="G234" s="323">
        <v>133</v>
      </c>
      <c r="H234" s="323">
        <v>155</v>
      </c>
      <c r="I234" s="323">
        <v>157</v>
      </c>
      <c r="J234" s="323">
        <v>151</v>
      </c>
      <c r="K234" s="323">
        <v>152</v>
      </c>
      <c r="L234" s="323">
        <v>141</v>
      </c>
      <c r="M234" s="323">
        <v>138</v>
      </c>
      <c r="N234" s="323">
        <v>121</v>
      </c>
    </row>
    <row r="235" spans="1:28" x14ac:dyDescent="0.2">
      <c r="B235" s="324"/>
      <c r="C235" s="325">
        <v>1411</v>
      </c>
      <c r="D235" s="325">
        <v>1420</v>
      </c>
      <c r="E235" s="325">
        <v>1416</v>
      </c>
      <c r="F235" s="325">
        <v>1427</v>
      </c>
      <c r="G235" s="325">
        <v>1423</v>
      </c>
      <c r="H235" s="325">
        <v>1442</v>
      </c>
      <c r="I235" s="325">
        <v>1439</v>
      </c>
      <c r="J235" s="325">
        <v>1430</v>
      </c>
      <c r="K235" s="325">
        <v>1421</v>
      </c>
      <c r="L235" s="325">
        <v>1403</v>
      </c>
      <c r="M235" s="325">
        <v>1399</v>
      </c>
      <c r="N235" s="325">
        <v>1364</v>
      </c>
    </row>
    <row r="237" spans="1:28" x14ac:dyDescent="0.2">
      <c r="B237" s="326" t="s">
        <v>555</v>
      </c>
      <c r="C237" s="327"/>
      <c r="D237" s="327"/>
      <c r="E237" s="327"/>
      <c r="F237" s="327"/>
      <c r="G237" s="327"/>
      <c r="H237" s="327"/>
      <c r="I237" s="327"/>
      <c r="J237" s="327"/>
    </row>
    <row r="238" spans="1:28" x14ac:dyDescent="0.2">
      <c r="B238" s="276" t="s">
        <v>556</v>
      </c>
      <c r="C238" s="276"/>
      <c r="D238" s="276"/>
      <c r="E238" s="276"/>
      <c r="F238" s="276"/>
      <c r="G238" s="276"/>
      <c r="H238" s="276"/>
      <c r="I238" s="276"/>
      <c r="J238" s="276"/>
    </row>
  </sheetData>
  <mergeCells count="106">
    <mergeCell ref="B219:N219"/>
    <mergeCell ref="C221:N221"/>
    <mergeCell ref="C222:C223"/>
    <mergeCell ref="D222:D223"/>
    <mergeCell ref="E222:E223"/>
    <mergeCell ref="F222:F223"/>
    <mergeCell ref="G222:G223"/>
    <mergeCell ref="H222:H223"/>
    <mergeCell ref="I222:I223"/>
    <mergeCell ref="J222:J223"/>
    <mergeCell ref="K222:K223"/>
    <mergeCell ref="L222:L223"/>
    <mergeCell ref="M222:M223"/>
    <mergeCell ref="N222:N223"/>
    <mergeCell ref="B197:N197"/>
    <mergeCell ref="C199:N199"/>
    <mergeCell ref="C200:C201"/>
    <mergeCell ref="D200:D201"/>
    <mergeCell ref="E200:E201"/>
    <mergeCell ref="F200:F201"/>
    <mergeCell ref="G200:G201"/>
    <mergeCell ref="H200:H201"/>
    <mergeCell ref="I200:I201"/>
    <mergeCell ref="J200:J201"/>
    <mergeCell ref="K200:K201"/>
    <mergeCell ref="L200:L201"/>
    <mergeCell ref="M200:M201"/>
    <mergeCell ref="N200:N201"/>
    <mergeCell ref="C159:N159"/>
    <mergeCell ref="C160:C161"/>
    <mergeCell ref="D160:D161"/>
    <mergeCell ref="E160:E161"/>
    <mergeCell ref="F160:F161"/>
    <mergeCell ref="G160:G161"/>
    <mergeCell ref="H160:H161"/>
    <mergeCell ref="I160:I161"/>
    <mergeCell ref="J160:J161"/>
    <mergeCell ref="K160:K161"/>
    <mergeCell ref="L160:L161"/>
    <mergeCell ref="M160:M161"/>
    <mergeCell ref="N160:N161"/>
    <mergeCell ref="C143:N143"/>
    <mergeCell ref="C144:C145"/>
    <mergeCell ref="D144:D145"/>
    <mergeCell ref="E144:E145"/>
    <mergeCell ref="F144:F145"/>
    <mergeCell ref="G144:G145"/>
    <mergeCell ref="H144:H145"/>
    <mergeCell ref="I144:I145"/>
    <mergeCell ref="J144:J145"/>
    <mergeCell ref="K144:K145"/>
    <mergeCell ref="L144:L145"/>
    <mergeCell ref="M144:M145"/>
    <mergeCell ref="N144:N145"/>
    <mergeCell ref="C113:N113"/>
    <mergeCell ref="C114:C115"/>
    <mergeCell ref="D114:D115"/>
    <mergeCell ref="E114:E115"/>
    <mergeCell ref="F114:F115"/>
    <mergeCell ref="G114:G115"/>
    <mergeCell ref="H114:H115"/>
    <mergeCell ref="I114:I115"/>
    <mergeCell ref="J114:J115"/>
    <mergeCell ref="K114:K115"/>
    <mergeCell ref="L114:L115"/>
    <mergeCell ref="M114:M115"/>
    <mergeCell ref="N114:N115"/>
    <mergeCell ref="C85:N85"/>
    <mergeCell ref="C86:C87"/>
    <mergeCell ref="D86:D87"/>
    <mergeCell ref="E86:E87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C50:N50"/>
    <mergeCell ref="C51:C52"/>
    <mergeCell ref="D51:D52"/>
    <mergeCell ref="E51:E52"/>
    <mergeCell ref="F51:F52"/>
    <mergeCell ref="G51:G52"/>
    <mergeCell ref="H51:H52"/>
    <mergeCell ref="I51:I52"/>
    <mergeCell ref="J51:J52"/>
    <mergeCell ref="K51:K52"/>
    <mergeCell ref="L51:L52"/>
    <mergeCell ref="M51:M52"/>
    <mergeCell ref="N51:N52"/>
    <mergeCell ref="C3:N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rintOptions horizontalCentered="1" verticalCentered="1"/>
  <pageMargins left="0" right="0" top="0.78740157480314965" bottom="0.19685039370078741" header="0" footer="0"/>
  <pageSetup paperSize="9" scale="71" orientation="landscape" r:id="rId1"/>
  <headerFooter alignWithMargins="0">
    <oddFooter>&amp;C&amp;A&amp;R&amp;F</oddFooter>
  </headerFooter>
  <rowBreaks count="4" manualBreakCount="4">
    <brk id="47" max="14" man="1"/>
    <brk id="110" max="14" man="1"/>
    <brk id="156" max="14" man="1"/>
    <brk id="19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38DD5"/>
  </sheetPr>
  <dimension ref="B2:U52"/>
  <sheetViews>
    <sheetView showGridLines="0" tabSelected="1" zoomScaleNormal="100" workbookViewId="0">
      <selection activeCell="I34" sqref="I34"/>
    </sheetView>
  </sheetViews>
  <sheetFormatPr baseColWidth="10" defaultColWidth="11" defaultRowHeight="15.75" x14ac:dyDescent="0.25"/>
  <cols>
    <col min="1" max="1" width="5.75" style="480" customWidth="1"/>
    <col min="2" max="2" width="46.25" style="480" customWidth="1"/>
    <col min="3" max="3" width="1" style="480" customWidth="1"/>
    <col min="4" max="6" width="9.75" style="480" customWidth="1"/>
    <col min="7" max="7" width="1" style="480" customWidth="1"/>
    <col min="8" max="10" width="9.75" style="480" customWidth="1"/>
    <col min="11" max="11" width="1" style="480" customWidth="1"/>
    <col min="12" max="14" width="9.75" style="480" customWidth="1"/>
    <col min="15" max="15" width="1" style="480" customWidth="1"/>
    <col min="16" max="18" width="9.75" style="480" customWidth="1"/>
    <col min="19" max="16384" width="11" style="480"/>
  </cols>
  <sheetData>
    <row r="2" spans="2:20" ht="18.75" x14ac:dyDescent="0.25">
      <c r="B2" s="731" t="s">
        <v>566</v>
      </c>
      <c r="C2" s="731"/>
      <c r="D2" s="731"/>
      <c r="E2" s="731"/>
      <c r="F2" s="731"/>
      <c r="G2" s="731"/>
      <c r="H2" s="731"/>
      <c r="I2" s="731"/>
      <c r="J2" s="731"/>
      <c r="K2" s="731"/>
      <c r="L2" s="731"/>
      <c r="M2" s="731"/>
      <c r="N2" s="731"/>
      <c r="O2" s="731"/>
      <c r="P2" s="731"/>
      <c r="Q2" s="731"/>
      <c r="R2" s="731"/>
    </row>
    <row r="3" spans="2:20" ht="16.5" customHeight="1" x14ac:dyDescent="0.25"/>
    <row r="4" spans="2:20" ht="36" customHeight="1" x14ac:dyDescent="0.25">
      <c r="B4" s="481"/>
      <c r="C4" s="481"/>
      <c r="D4" s="732" t="s">
        <v>661</v>
      </c>
      <c r="E4" s="732"/>
      <c r="F4" s="732"/>
      <c r="G4" s="482"/>
      <c r="H4" s="732" t="s">
        <v>662</v>
      </c>
      <c r="I4" s="732"/>
      <c r="J4" s="732"/>
      <c r="K4" s="482"/>
      <c r="L4" s="732" t="s">
        <v>660</v>
      </c>
      <c r="M4" s="732"/>
      <c r="N4" s="732"/>
      <c r="O4" s="483"/>
      <c r="P4" s="732" t="s">
        <v>663</v>
      </c>
      <c r="Q4" s="732"/>
      <c r="R4" s="732"/>
    </row>
    <row r="5" spans="2:20" x14ac:dyDescent="0.25">
      <c r="B5" s="481"/>
      <c r="C5" s="481"/>
      <c r="D5" s="484"/>
      <c r="E5" s="484"/>
      <c r="F5" s="484"/>
      <c r="G5" s="482"/>
      <c r="H5" s="484"/>
      <c r="I5" s="484"/>
      <c r="J5" s="484"/>
      <c r="K5" s="482"/>
      <c r="L5" s="484"/>
      <c r="M5" s="484"/>
      <c r="N5" s="484"/>
      <c r="O5" s="483"/>
      <c r="P5" s="485"/>
      <c r="Q5" s="485"/>
      <c r="R5" s="485"/>
    </row>
    <row r="6" spans="2:20" ht="18.75" x14ac:dyDescent="0.25">
      <c r="B6" s="486" t="s">
        <v>325</v>
      </c>
      <c r="C6" s="486"/>
      <c r="D6" s="341" t="s">
        <v>30</v>
      </c>
      <c r="E6" s="341" t="s">
        <v>30</v>
      </c>
      <c r="F6" s="341" t="s">
        <v>557</v>
      </c>
      <c r="G6" s="482"/>
      <c r="H6" s="341" t="s">
        <v>30</v>
      </c>
      <c r="I6" s="341" t="s">
        <v>30</v>
      </c>
      <c r="J6" s="341" t="s">
        <v>557</v>
      </c>
      <c r="K6" s="482"/>
      <c r="L6" s="341" t="s">
        <v>30</v>
      </c>
      <c r="M6" s="341" t="s">
        <v>30</v>
      </c>
      <c r="N6" s="341" t="s">
        <v>557</v>
      </c>
      <c r="O6" s="483"/>
      <c r="P6" s="341" t="s">
        <v>30</v>
      </c>
      <c r="Q6" s="341" t="s">
        <v>30</v>
      </c>
      <c r="R6" s="341" t="s">
        <v>557</v>
      </c>
    </row>
    <row r="7" spans="2:20" x14ac:dyDescent="0.25">
      <c r="B7" s="487"/>
      <c r="C7" s="487"/>
      <c r="D7" s="341">
        <v>2017</v>
      </c>
      <c r="E7" s="341">
        <v>2016</v>
      </c>
      <c r="F7" s="341" t="s">
        <v>102</v>
      </c>
      <c r="G7" s="482"/>
      <c r="H7" s="341">
        <v>2017</v>
      </c>
      <c r="I7" s="341">
        <v>2016</v>
      </c>
      <c r="J7" s="341" t="s">
        <v>102</v>
      </c>
      <c r="K7" s="482"/>
      <c r="L7" s="341">
        <v>2017</v>
      </c>
      <c r="M7" s="341">
        <v>2016</v>
      </c>
      <c r="N7" s="341" t="s">
        <v>102</v>
      </c>
      <c r="O7" s="483"/>
      <c r="P7" s="341">
        <v>2017</v>
      </c>
      <c r="Q7" s="341">
        <v>2016</v>
      </c>
      <c r="R7" s="341" t="s">
        <v>102</v>
      </c>
    </row>
    <row r="8" spans="2:20" x14ac:dyDescent="0.25">
      <c r="B8" s="482"/>
      <c r="C8" s="482"/>
      <c r="D8" s="488"/>
      <c r="E8" s="488"/>
      <c r="F8" s="482"/>
      <c r="G8" s="482"/>
      <c r="H8" s="482"/>
      <c r="I8" s="482"/>
      <c r="J8" s="482"/>
      <c r="K8" s="482"/>
      <c r="L8" s="482"/>
      <c r="M8" s="482"/>
      <c r="N8" s="482"/>
      <c r="O8" s="483"/>
      <c r="P8" s="483"/>
      <c r="Q8" s="483"/>
      <c r="R8" s="483"/>
      <c r="T8" s="489"/>
    </row>
    <row r="9" spans="2:20" x14ac:dyDescent="0.25">
      <c r="B9" s="490" t="s">
        <v>228</v>
      </c>
      <c r="C9" s="490"/>
      <c r="D9" s="574">
        <v>440441</v>
      </c>
      <c r="E9" s="575">
        <v>389087</v>
      </c>
      <c r="F9" s="666">
        <f>(D9-E9)/E9*100</f>
        <v>13.198590546587265</v>
      </c>
      <c r="G9" s="493"/>
      <c r="H9" s="574">
        <v>191324</v>
      </c>
      <c r="I9" s="575">
        <v>160590</v>
      </c>
      <c r="J9" s="666">
        <f>(H9-I9)/I9*100</f>
        <v>19.138177968740269</v>
      </c>
      <c r="K9" s="493"/>
      <c r="L9" s="574">
        <v>54205</v>
      </c>
      <c r="M9" s="575">
        <v>52866</v>
      </c>
      <c r="N9" s="666">
        <f>(L9-M9)/M9*100</f>
        <v>2.5328188249536563</v>
      </c>
      <c r="O9" s="576"/>
      <c r="P9" s="574">
        <f>+D9+H9+L9</f>
        <v>685970</v>
      </c>
      <c r="Q9" s="574">
        <f>+E9+I9+M9</f>
        <v>602543</v>
      </c>
      <c r="R9" s="666">
        <f>(P9-Q9)/Q9*100</f>
        <v>13.845816813073922</v>
      </c>
    </row>
    <row r="10" spans="2:20" s="496" customFormat="1" x14ac:dyDescent="0.25">
      <c r="B10" s="482"/>
      <c r="C10" s="482"/>
      <c r="D10" s="577"/>
      <c r="E10" s="577"/>
      <c r="F10" s="666"/>
      <c r="G10" s="493"/>
      <c r="H10" s="577"/>
      <c r="I10" s="577"/>
      <c r="J10" s="666"/>
      <c r="K10" s="493"/>
      <c r="L10" s="577"/>
      <c r="M10" s="577"/>
      <c r="N10" s="666"/>
      <c r="O10" s="576"/>
      <c r="P10" s="578"/>
      <c r="Q10" s="578"/>
      <c r="R10" s="666"/>
    </row>
    <row r="11" spans="2:20" s="496" customFormat="1" x14ac:dyDescent="0.25">
      <c r="B11" s="464" t="s">
        <v>336</v>
      </c>
      <c r="C11" s="469"/>
      <c r="D11" s="579">
        <v>48016</v>
      </c>
      <c r="E11" s="579">
        <v>33550</v>
      </c>
      <c r="F11" s="667">
        <f>(D11-E11)/E11*100</f>
        <v>43.117734724292099</v>
      </c>
      <c r="G11" s="580"/>
      <c r="H11" s="581">
        <v>16542</v>
      </c>
      <c r="I11" s="579">
        <v>15977</v>
      </c>
      <c r="J11" s="667">
        <f>(H11-I11)/I11*100</f>
        <v>3.5363334793766037</v>
      </c>
      <c r="K11" s="580"/>
      <c r="L11" s="581">
        <v>9753</v>
      </c>
      <c r="M11" s="579">
        <v>8903</v>
      </c>
      <c r="N11" s="667">
        <f>(L11-M11)/M11*100</f>
        <v>9.5473435920476248</v>
      </c>
      <c r="O11" s="582"/>
      <c r="P11" s="581">
        <f>D11+H11+L11</f>
        <v>74311</v>
      </c>
      <c r="Q11" s="581">
        <f>E11+I11+M11</f>
        <v>58430</v>
      </c>
      <c r="R11" s="667">
        <f>(P11-Q11)/Q11*100</f>
        <v>27.179531062810202</v>
      </c>
    </row>
    <row r="12" spans="2:20" s="496" customFormat="1" x14ac:dyDescent="0.25">
      <c r="B12" s="472" t="s">
        <v>666</v>
      </c>
      <c r="C12" s="472"/>
      <c r="D12" s="583">
        <f>D13+D14</f>
        <v>-21732</v>
      </c>
      <c r="E12" s="583">
        <f>E13+E14</f>
        <v>0</v>
      </c>
      <c r="F12" s="666" t="s">
        <v>230</v>
      </c>
      <c r="G12" s="584"/>
      <c r="H12" s="585">
        <v>0</v>
      </c>
      <c r="I12" s="575">
        <v>0</v>
      </c>
      <c r="J12" s="666" t="s">
        <v>230</v>
      </c>
      <c r="K12" s="584"/>
      <c r="L12" s="585">
        <v>0</v>
      </c>
      <c r="M12" s="575">
        <v>0</v>
      </c>
      <c r="N12" s="666" t="s">
        <v>230</v>
      </c>
      <c r="O12" s="582"/>
      <c r="P12" s="585">
        <f>D12+H12+L12</f>
        <v>-21732</v>
      </c>
      <c r="Q12" s="585">
        <f>E12+I12+M12</f>
        <v>0</v>
      </c>
      <c r="R12" s="666" t="s">
        <v>230</v>
      </c>
    </row>
    <row r="13" spans="2:20" s="496" customFormat="1" x14ac:dyDescent="0.25">
      <c r="B13" s="474" t="s">
        <v>561</v>
      </c>
      <c r="C13" s="474"/>
      <c r="D13" s="583">
        <v>-11000</v>
      </c>
      <c r="E13" s="575">
        <v>0</v>
      </c>
      <c r="F13" s="666" t="s">
        <v>230</v>
      </c>
      <c r="G13" s="584"/>
      <c r="H13" s="585">
        <v>0</v>
      </c>
      <c r="I13" s="575">
        <v>0</v>
      </c>
      <c r="J13" s="666" t="s">
        <v>230</v>
      </c>
      <c r="K13" s="594"/>
      <c r="L13" s="497">
        <v>0</v>
      </c>
      <c r="M13" s="492">
        <v>0</v>
      </c>
      <c r="N13" s="666" t="s">
        <v>230</v>
      </c>
      <c r="O13" s="582"/>
      <c r="P13" s="497">
        <f>D13</f>
        <v>-11000</v>
      </c>
      <c r="Q13" s="497">
        <v>0</v>
      </c>
      <c r="R13" s="666" t="s">
        <v>230</v>
      </c>
    </row>
    <row r="14" spans="2:20" x14ac:dyDescent="0.25">
      <c r="B14" s="474" t="s">
        <v>562</v>
      </c>
      <c r="C14" s="474"/>
      <c r="D14" s="583">
        <v>-10732</v>
      </c>
      <c r="E14" s="575">
        <v>0</v>
      </c>
      <c r="F14" s="666" t="s">
        <v>230</v>
      </c>
      <c r="G14" s="584"/>
      <c r="H14" s="585">
        <v>0</v>
      </c>
      <c r="I14" s="575">
        <v>0</v>
      </c>
      <c r="J14" s="666" t="s">
        <v>230</v>
      </c>
      <c r="K14" s="594"/>
      <c r="L14" s="497">
        <v>0</v>
      </c>
      <c r="M14" s="492">
        <v>0</v>
      </c>
      <c r="N14" s="666" t="s">
        <v>230</v>
      </c>
      <c r="O14" s="582"/>
      <c r="P14" s="497">
        <f>D14</f>
        <v>-10732</v>
      </c>
      <c r="Q14" s="497">
        <v>0</v>
      </c>
      <c r="R14" s="666" t="s">
        <v>230</v>
      </c>
    </row>
    <row r="15" spans="2:20" x14ac:dyDescent="0.25">
      <c r="B15" s="490" t="s">
        <v>220</v>
      </c>
      <c r="C15" s="490"/>
      <c r="D15" s="575">
        <v>-10942</v>
      </c>
      <c r="E15" s="575">
        <v>-12524</v>
      </c>
      <c r="F15" s="666">
        <f>(D15-E15)/E15*100</f>
        <v>-12.631747045672309</v>
      </c>
      <c r="G15" s="493"/>
      <c r="H15" s="575">
        <v>-4470</v>
      </c>
      <c r="I15" s="575">
        <v>-4286</v>
      </c>
      <c r="J15" s="666">
        <f>(H15-I15)/I15*100</f>
        <v>4.2930471301913204</v>
      </c>
      <c r="K15" s="595"/>
      <c r="L15" s="492">
        <v>-2840</v>
      </c>
      <c r="M15" s="492">
        <v>-2561</v>
      </c>
      <c r="N15" s="666">
        <f>(L15-M15)/M15*100</f>
        <v>10.894181960171807</v>
      </c>
      <c r="O15" s="576"/>
      <c r="P15" s="491">
        <v>-18252</v>
      </c>
      <c r="Q15" s="491">
        <v>-19371</v>
      </c>
      <c r="R15" s="666">
        <v>-5.7766764751432556</v>
      </c>
    </row>
    <row r="16" spans="2:20" x14ac:dyDescent="0.25">
      <c r="B16" s="490" t="s">
        <v>231</v>
      </c>
      <c r="C16" s="490"/>
      <c r="D16" s="575">
        <v>0</v>
      </c>
      <c r="E16" s="575">
        <v>11990</v>
      </c>
      <c r="F16" s="666" t="s">
        <v>230</v>
      </c>
      <c r="G16" s="493" t="s">
        <v>38</v>
      </c>
      <c r="H16" s="575">
        <v>0</v>
      </c>
      <c r="I16" s="575">
        <v>0</v>
      </c>
      <c r="J16" s="666" t="s">
        <v>230</v>
      </c>
      <c r="K16" s="595" t="s">
        <v>38</v>
      </c>
      <c r="L16" s="492">
        <v>0</v>
      </c>
      <c r="M16" s="492">
        <v>0</v>
      </c>
      <c r="N16" s="666" t="s">
        <v>230</v>
      </c>
      <c r="O16" s="576"/>
      <c r="P16" s="491">
        <v>0</v>
      </c>
      <c r="Q16" s="491">
        <v>11990</v>
      </c>
      <c r="R16" s="666" t="s">
        <v>230</v>
      </c>
    </row>
    <row r="17" spans="2:21" s="496" customFormat="1" x14ac:dyDescent="0.25">
      <c r="B17" s="482"/>
      <c r="C17" s="482"/>
      <c r="D17" s="577"/>
      <c r="E17" s="577"/>
      <c r="F17" s="666"/>
      <c r="G17" s="493"/>
      <c r="H17" s="577"/>
      <c r="I17" s="577"/>
      <c r="J17" s="666"/>
      <c r="K17" s="595"/>
      <c r="L17" s="495"/>
      <c r="M17" s="495"/>
      <c r="N17" s="666"/>
      <c r="O17" s="576"/>
      <c r="P17" s="601"/>
      <c r="Q17" s="601"/>
      <c r="R17" s="666"/>
      <c r="U17" s="498"/>
    </row>
    <row r="18" spans="2:21" x14ac:dyDescent="0.25">
      <c r="B18" s="478" t="s">
        <v>221</v>
      </c>
      <c r="C18" s="487"/>
      <c r="D18" s="579">
        <f>D11+D13+D14+D15+D16</f>
        <v>15342</v>
      </c>
      <c r="E18" s="579">
        <f>E11+E13+E14+E15+E16</f>
        <v>33016</v>
      </c>
      <c r="F18" s="667">
        <f>(D18-E18)/E18*100</f>
        <v>-53.531621032226795</v>
      </c>
      <c r="G18" s="580"/>
      <c r="H18" s="579">
        <f>H11+H13+H14+H15+H16</f>
        <v>12072</v>
      </c>
      <c r="I18" s="579">
        <f>I11+I13+I14+I15+I16</f>
        <v>11691</v>
      </c>
      <c r="J18" s="667">
        <f>(H18-I18)/I18*100</f>
        <v>3.2589171157300485</v>
      </c>
      <c r="K18" s="596"/>
      <c r="L18" s="579">
        <f>L11+L13+L14+L15+L16</f>
        <v>6913</v>
      </c>
      <c r="M18" s="579">
        <f>M11+M13+M14+M15+M16</f>
        <v>6342</v>
      </c>
      <c r="N18" s="667">
        <f>(L18-M18)/M18*100</f>
        <v>9.0034689372437722</v>
      </c>
      <c r="O18" s="582"/>
      <c r="P18" s="581">
        <f>D18+H18+L18</f>
        <v>34327</v>
      </c>
      <c r="Q18" s="581">
        <f>E18+I18+M18</f>
        <v>51049</v>
      </c>
      <c r="R18" s="667">
        <f>(P18-Q18)/Q18*100</f>
        <v>-32.756763109953177</v>
      </c>
    </row>
    <row r="19" spans="2:21" x14ac:dyDescent="0.25">
      <c r="B19" s="490" t="s">
        <v>222</v>
      </c>
      <c r="C19" s="490"/>
      <c r="D19" s="575">
        <v>-3430</v>
      </c>
      <c r="E19" s="575">
        <v>-3568</v>
      </c>
      <c r="F19" s="666">
        <f>(D19-E19)/E19*100</f>
        <v>-3.8677130044843051</v>
      </c>
      <c r="G19" s="493"/>
      <c r="H19" s="575">
        <v>-1714</v>
      </c>
      <c r="I19" s="575">
        <v>-1618</v>
      </c>
      <c r="J19" s="666">
        <f>(H19-I19)/I19*100</f>
        <v>5.9332509270704579</v>
      </c>
      <c r="K19" s="595"/>
      <c r="L19" s="492">
        <v>-500</v>
      </c>
      <c r="M19" s="492">
        <v>-541</v>
      </c>
      <c r="N19" s="666">
        <f>(L19-M19)/M19*100</f>
        <v>-7.5785582255083179</v>
      </c>
      <c r="O19" s="576"/>
      <c r="P19" s="491">
        <v>-5644</v>
      </c>
      <c r="Q19" s="491">
        <v>-5727</v>
      </c>
      <c r="R19" s="666">
        <f>(P19-Q19)/Q19*100</f>
        <v>-1.4492753623188406</v>
      </c>
    </row>
    <row r="20" spans="2:21" x14ac:dyDescent="0.25">
      <c r="B20" s="482"/>
      <c r="C20" s="482"/>
      <c r="D20" s="577"/>
      <c r="E20" s="577"/>
      <c r="F20" s="666"/>
      <c r="G20" s="493"/>
      <c r="H20" s="577"/>
      <c r="I20" s="577"/>
      <c r="J20" s="666"/>
      <c r="K20" s="595"/>
      <c r="L20" s="495"/>
      <c r="M20" s="495"/>
      <c r="N20" s="666"/>
      <c r="O20" s="576"/>
      <c r="P20" s="601"/>
      <c r="Q20" s="601"/>
      <c r="R20" s="666"/>
    </row>
    <row r="21" spans="2:21" ht="18.75" x14ac:dyDescent="0.3">
      <c r="B21" s="563" t="s">
        <v>223</v>
      </c>
      <c r="C21" s="486"/>
      <c r="D21" s="586">
        <f>SUM(D18:D19)</f>
        <v>11912</v>
      </c>
      <c r="E21" s="586">
        <f>SUM(E18:E19)</f>
        <v>29448</v>
      </c>
      <c r="F21" s="668">
        <f>(D21-E21)/E21*100</f>
        <v>-59.549035588155398</v>
      </c>
      <c r="G21" s="587"/>
      <c r="H21" s="586">
        <f>SUM(H18:H19)</f>
        <v>10358</v>
      </c>
      <c r="I21" s="586">
        <f>SUM(I18:I19)</f>
        <v>10073</v>
      </c>
      <c r="J21" s="668">
        <f>(H21-I21)/I21*100</f>
        <v>2.8293457758363942</v>
      </c>
      <c r="K21" s="597"/>
      <c r="L21" s="586">
        <f>SUM(L18:L19)</f>
        <v>6413</v>
      </c>
      <c r="M21" s="586">
        <f>SUM(M18:M19)</f>
        <v>5801</v>
      </c>
      <c r="N21" s="668">
        <f>(L21-M21)/M21*100</f>
        <v>10.549905188760558</v>
      </c>
      <c r="O21" s="588"/>
      <c r="P21" s="602">
        <f>+D21+H21+L21</f>
        <v>28683</v>
      </c>
      <c r="Q21" s="602">
        <f>+E21+I21+M21</f>
        <v>45322</v>
      </c>
      <c r="R21" s="668">
        <f>(P21-Q21)/Q21*100</f>
        <v>-36.712854684259298</v>
      </c>
    </row>
    <row r="22" spans="2:21" x14ac:dyDescent="0.25">
      <c r="B22" s="490"/>
      <c r="C22" s="490"/>
      <c r="D22" s="577"/>
      <c r="E22" s="577"/>
      <c r="F22" s="666"/>
      <c r="G22" s="493"/>
      <c r="H22" s="577"/>
      <c r="I22" s="577"/>
      <c r="J22" s="666"/>
      <c r="K22" s="595"/>
      <c r="L22" s="495"/>
      <c r="M22" s="495"/>
      <c r="N22" s="666"/>
      <c r="O22" s="576"/>
      <c r="P22" s="601"/>
      <c r="Q22" s="601"/>
      <c r="R22" s="666"/>
    </row>
    <row r="23" spans="2:21" x14ac:dyDescent="0.25">
      <c r="B23" s="490" t="s">
        <v>225</v>
      </c>
      <c r="C23" s="490"/>
      <c r="D23" s="575">
        <v>362745</v>
      </c>
      <c r="E23" s="575">
        <v>301061</v>
      </c>
      <c r="F23" s="666">
        <f>(D23-E23)/E23*100</f>
        <v>20.488871026137559</v>
      </c>
      <c r="G23" s="499"/>
      <c r="H23" s="575">
        <v>182674</v>
      </c>
      <c r="I23" s="575">
        <v>209430</v>
      </c>
      <c r="J23" s="666">
        <f>(H23-I23)/I23*100</f>
        <v>-12.775629088478249</v>
      </c>
      <c r="K23" s="598"/>
      <c r="L23" s="492">
        <v>53754</v>
      </c>
      <c r="M23" s="492">
        <v>49690</v>
      </c>
      <c r="N23" s="666">
        <f t="shared" ref="N23:N25" si="0">(L23-M23)/M23*100</f>
        <v>8.178707989535118</v>
      </c>
      <c r="O23" s="589"/>
      <c r="P23" s="491">
        <f t="shared" ref="P23:Q25" si="1">+D23+H23+L23</f>
        <v>599173</v>
      </c>
      <c r="Q23" s="491">
        <f t="shared" si="1"/>
        <v>560181</v>
      </c>
      <c r="R23" s="666">
        <f>(P23-Q23)/Q23*100</f>
        <v>6.9606073751162567</v>
      </c>
    </row>
    <row r="24" spans="2:21" x14ac:dyDescent="0.25">
      <c r="B24" s="490" t="s">
        <v>226</v>
      </c>
      <c r="C24" s="490"/>
      <c r="D24" s="575">
        <v>221029</v>
      </c>
      <c r="E24" s="575">
        <v>216195</v>
      </c>
      <c r="F24" s="666">
        <f t="shared" ref="F24:F25" si="2">(D24-E24)/E24*100</f>
        <v>2.2359444020444506</v>
      </c>
      <c r="G24" s="499"/>
      <c r="H24" s="575">
        <v>91611</v>
      </c>
      <c r="I24" s="575">
        <v>87984</v>
      </c>
      <c r="J24" s="666">
        <f t="shared" ref="J24:J25" si="3">(H24-I24)/I24*100</f>
        <v>4.1223404255319149</v>
      </c>
      <c r="K24" s="598"/>
      <c r="L24" s="492">
        <v>39041</v>
      </c>
      <c r="M24" s="492">
        <v>36154</v>
      </c>
      <c r="N24" s="666">
        <f t="shared" si="0"/>
        <v>7.9852851689992814</v>
      </c>
      <c r="O24" s="589"/>
      <c r="P24" s="491">
        <f t="shared" si="1"/>
        <v>351681</v>
      </c>
      <c r="Q24" s="491">
        <f t="shared" si="1"/>
        <v>340333</v>
      </c>
      <c r="R24" s="666">
        <f>(P24-Q24)/Q24*100</f>
        <v>3.3343813265243161</v>
      </c>
    </row>
    <row r="25" spans="2:21" x14ac:dyDescent="0.25">
      <c r="B25" s="490" t="s">
        <v>227</v>
      </c>
      <c r="C25" s="490"/>
      <c r="D25" s="575">
        <v>37252</v>
      </c>
      <c r="E25" s="575">
        <v>14010</v>
      </c>
      <c r="F25" s="666">
        <f t="shared" si="2"/>
        <v>165.89578872234119</v>
      </c>
      <c r="G25" s="590"/>
      <c r="H25" s="575">
        <v>4436</v>
      </c>
      <c r="I25" s="575">
        <v>3710</v>
      </c>
      <c r="J25" s="666">
        <f t="shared" si="3"/>
        <v>19.568733153638814</v>
      </c>
      <c r="K25" s="599"/>
      <c r="L25" s="492">
        <v>3128</v>
      </c>
      <c r="M25" s="492">
        <v>3310</v>
      </c>
      <c r="N25" s="666">
        <f t="shared" si="0"/>
        <v>-5.4984894259818731</v>
      </c>
      <c r="O25" s="591"/>
      <c r="P25" s="497">
        <f t="shared" si="1"/>
        <v>44816</v>
      </c>
      <c r="Q25" s="497">
        <f t="shared" si="1"/>
        <v>21030</v>
      </c>
      <c r="R25" s="666">
        <f>(P25-Q25)/Q25*100</f>
        <v>113.10508796956728</v>
      </c>
    </row>
    <row r="26" spans="2:21" x14ac:dyDescent="0.25">
      <c r="D26" s="468"/>
      <c r="E26" s="468"/>
      <c r="F26" s="669"/>
      <c r="G26" s="468"/>
      <c r="H26" s="468"/>
      <c r="I26" s="468"/>
      <c r="J26" s="669"/>
      <c r="K26" s="600"/>
      <c r="L26" s="600"/>
      <c r="M26" s="600"/>
      <c r="N26" s="669"/>
      <c r="O26" s="468"/>
      <c r="P26" s="600"/>
      <c r="Q26" s="600"/>
      <c r="R26" s="669"/>
    </row>
    <row r="27" spans="2:21" ht="18.75" x14ac:dyDescent="0.3">
      <c r="B27" s="563" t="s">
        <v>567</v>
      </c>
      <c r="C27" s="486"/>
      <c r="D27" s="592">
        <f>D11/D9</f>
        <v>0.10901800695212299</v>
      </c>
      <c r="E27" s="592">
        <f t="shared" ref="E27:Q27" si="4">E11/E9</f>
        <v>8.6227501818359392E-2</v>
      </c>
      <c r="F27" s="670"/>
      <c r="G27" s="587" t="e">
        <f t="shared" si="4"/>
        <v>#DIV/0!</v>
      </c>
      <c r="H27" s="592">
        <f t="shared" si="4"/>
        <v>8.6460663586377037E-2</v>
      </c>
      <c r="I27" s="592">
        <f t="shared" si="4"/>
        <v>9.9489382900554202E-2</v>
      </c>
      <c r="J27" s="670"/>
      <c r="K27" s="597"/>
      <c r="L27" s="573">
        <f t="shared" si="4"/>
        <v>0.179928050917812</v>
      </c>
      <c r="M27" s="573">
        <f t="shared" si="4"/>
        <v>0.16840691559792684</v>
      </c>
      <c r="N27" s="670"/>
      <c r="O27" s="593"/>
      <c r="P27" s="573">
        <f t="shared" si="4"/>
        <v>0.10832981034156013</v>
      </c>
      <c r="Q27" s="573">
        <f t="shared" si="4"/>
        <v>9.6972332265083158E-2</v>
      </c>
      <c r="R27" s="670"/>
    </row>
    <row r="28" spans="2:21" x14ac:dyDescent="0.25">
      <c r="D28" s="502"/>
      <c r="E28" s="502"/>
      <c r="F28" s="502"/>
      <c r="G28" s="501"/>
      <c r="L28" s="503"/>
      <c r="M28" s="503"/>
      <c r="N28" s="503"/>
      <c r="O28" s="503">
        <f>SUM(L28:N28)</f>
        <v>0</v>
      </c>
    </row>
    <row r="29" spans="2:21" x14ac:dyDescent="0.25">
      <c r="I29" s="504"/>
    </row>
    <row r="30" spans="2:21" ht="15.6" customHeight="1" x14ac:dyDescent="0.25">
      <c r="G30" s="503"/>
    </row>
    <row r="31" spans="2:21" x14ac:dyDescent="0.25">
      <c r="G31" s="489"/>
    </row>
    <row r="32" spans="2:21" x14ac:dyDescent="0.25">
      <c r="G32" s="489"/>
    </row>
    <row r="33" spans="2:7" x14ac:dyDescent="0.25">
      <c r="G33" s="489"/>
    </row>
    <row r="34" spans="2:7" x14ac:dyDescent="0.25">
      <c r="B34" s="505"/>
      <c r="C34" s="505"/>
      <c r="D34" s="503"/>
      <c r="E34" s="503"/>
      <c r="F34" s="503"/>
      <c r="G34" s="503">
        <f>SUM(D34:F34)</f>
        <v>0</v>
      </c>
    </row>
    <row r="35" spans="2:7" x14ac:dyDescent="0.25">
      <c r="B35" s="506"/>
      <c r="C35" s="506"/>
      <c r="D35" s="489"/>
      <c r="E35" s="489"/>
      <c r="F35" s="489"/>
      <c r="G35" s="489">
        <f>SUM(D35:F35)</f>
        <v>0</v>
      </c>
    </row>
    <row r="36" spans="2:7" x14ac:dyDescent="0.25">
      <c r="B36" s="506"/>
      <c r="C36" s="506"/>
      <c r="D36" s="489"/>
      <c r="E36" s="489"/>
      <c r="F36" s="489"/>
      <c r="G36" s="489">
        <f>SUM(D36:F36)</f>
        <v>0</v>
      </c>
    </row>
    <row r="37" spans="2:7" x14ac:dyDescent="0.25">
      <c r="D37" s="489"/>
      <c r="E37" s="489"/>
      <c r="F37" s="489"/>
      <c r="G37" s="489"/>
    </row>
    <row r="38" spans="2:7" x14ac:dyDescent="0.25">
      <c r="B38" s="505"/>
      <c r="C38" s="505"/>
      <c r="D38" s="503"/>
      <c r="E38" s="503"/>
      <c r="F38" s="503"/>
      <c r="G38" s="503">
        <f>SUM(G34:G37)</f>
        <v>0</v>
      </c>
    </row>
    <row r="39" spans="2:7" x14ac:dyDescent="0.25">
      <c r="D39" s="507"/>
      <c r="E39" s="489"/>
      <c r="F39" s="489"/>
      <c r="G39" s="489">
        <f>SUM(D39:F39)</f>
        <v>0</v>
      </c>
    </row>
    <row r="40" spans="2:7" x14ac:dyDescent="0.25">
      <c r="D40" s="489"/>
      <c r="E40" s="489"/>
      <c r="F40" s="489"/>
      <c r="G40" s="489">
        <f>SUM(D40:F40)</f>
        <v>0</v>
      </c>
    </row>
    <row r="41" spans="2:7" x14ac:dyDescent="0.25">
      <c r="D41" s="489"/>
      <c r="E41" s="489"/>
      <c r="F41" s="489"/>
      <c r="G41" s="489">
        <f>SUM(D41:F41)</f>
        <v>0</v>
      </c>
    </row>
    <row r="42" spans="2:7" x14ac:dyDescent="0.25">
      <c r="D42" s="489"/>
      <c r="E42" s="489"/>
      <c r="F42" s="489"/>
      <c r="G42" s="489">
        <f>SUM(D42:F42)</f>
        <v>0</v>
      </c>
    </row>
    <row r="43" spans="2:7" x14ac:dyDescent="0.25">
      <c r="D43" s="489"/>
      <c r="E43" s="489"/>
      <c r="F43" s="489"/>
      <c r="G43" s="489"/>
    </row>
    <row r="44" spans="2:7" x14ac:dyDescent="0.25">
      <c r="B44" s="505"/>
      <c r="C44" s="505"/>
      <c r="D44" s="503"/>
      <c r="E44" s="503"/>
      <c r="F44" s="503"/>
      <c r="G44" s="503">
        <f>SUM(G38:G42)</f>
        <v>0</v>
      </c>
    </row>
    <row r="45" spans="2:7" x14ac:dyDescent="0.25">
      <c r="D45" s="489"/>
      <c r="E45" s="489"/>
      <c r="F45" s="489"/>
      <c r="G45" s="489"/>
    </row>
    <row r="46" spans="2:7" x14ac:dyDescent="0.25">
      <c r="B46" s="505"/>
      <c r="C46" s="505"/>
      <c r="D46" s="503"/>
      <c r="E46" s="503"/>
      <c r="F46" s="503"/>
      <c r="G46" s="503"/>
    </row>
    <row r="47" spans="2:7" x14ac:dyDescent="0.25">
      <c r="D47" s="489"/>
      <c r="E47" s="489"/>
      <c r="F47" s="489"/>
      <c r="G47" s="489"/>
    </row>
    <row r="48" spans="2:7" x14ac:dyDescent="0.25">
      <c r="D48" s="489"/>
      <c r="E48" s="489"/>
      <c r="F48" s="489"/>
      <c r="G48" s="489"/>
    </row>
    <row r="49" spans="4:7" x14ac:dyDescent="0.25">
      <c r="D49" s="489"/>
      <c r="E49" s="489"/>
      <c r="F49" s="489"/>
      <c r="G49" s="489"/>
    </row>
    <row r="50" spans="4:7" x14ac:dyDescent="0.25">
      <c r="D50" s="489"/>
      <c r="E50" s="489"/>
      <c r="F50" s="489"/>
      <c r="G50" s="489"/>
    </row>
    <row r="51" spans="4:7" x14ac:dyDescent="0.25">
      <c r="D51" s="489"/>
      <c r="E51" s="489"/>
      <c r="F51" s="489"/>
      <c r="G51" s="489"/>
    </row>
    <row r="52" spans="4:7" x14ac:dyDescent="0.25">
      <c r="D52" s="489"/>
      <c r="E52" s="489"/>
      <c r="F52" s="489"/>
      <c r="G52" s="489"/>
    </row>
  </sheetData>
  <mergeCells count="5">
    <mergeCell ref="B2:R2"/>
    <mergeCell ref="D4:F4"/>
    <mergeCell ref="H4:J4"/>
    <mergeCell ref="L4:N4"/>
    <mergeCell ref="P4:R4"/>
  </mergeCells>
  <pageMargins left="0" right="0" top="0.74803149606299213" bottom="0.74803149606299213" header="0.31496062992125984" footer="0.31496062992125984"/>
  <pageSetup paperSize="9" scale="95" orientation="landscape" r:id="rId1"/>
  <ignoredErrors>
    <ignoredError sqref="G27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38DD5"/>
  </sheetPr>
  <dimension ref="A2:Y68"/>
  <sheetViews>
    <sheetView showGridLines="0" zoomScaleNormal="100" workbookViewId="0">
      <selection activeCell="F21" sqref="F21"/>
    </sheetView>
  </sheetViews>
  <sheetFormatPr baseColWidth="10" defaultColWidth="11.25" defaultRowHeight="15.75" x14ac:dyDescent="0.25"/>
  <cols>
    <col min="1" max="1" width="5.75" style="480" customWidth="1"/>
    <col min="2" max="2" width="20.125" style="480" customWidth="1"/>
    <col min="3" max="3" width="1" style="480" customWidth="1"/>
    <col min="4" max="7" width="9.75" style="480" customWidth="1"/>
    <col min="8" max="8" width="1" style="480" customWidth="1"/>
    <col min="9" max="12" width="9.75" style="480" customWidth="1"/>
    <col min="13" max="13" width="1" style="480" customWidth="1"/>
    <col min="14" max="17" width="9.75" style="480" customWidth="1"/>
    <col min="18" max="18" width="1" style="480" customWidth="1"/>
    <col min="19" max="22" width="9.75" style="480" customWidth="1"/>
    <col min="23" max="23" width="8.375" style="480" customWidth="1"/>
    <col min="24" max="24" width="8.25" style="480" customWidth="1"/>
    <col min="25" max="16384" width="11.25" style="480"/>
  </cols>
  <sheetData>
    <row r="2" spans="2:25" x14ac:dyDescent="0.25">
      <c r="B2" s="734" t="s">
        <v>568</v>
      </c>
      <c r="C2" s="734"/>
      <c r="D2" s="734"/>
      <c r="E2" s="734"/>
      <c r="F2" s="734"/>
      <c r="G2" s="734"/>
      <c r="H2" s="734"/>
      <c r="I2" s="734"/>
      <c r="J2" s="734"/>
      <c r="K2" s="734"/>
      <c r="L2" s="734"/>
      <c r="M2" s="734"/>
      <c r="N2" s="734"/>
      <c r="O2" s="734"/>
      <c r="P2" s="734"/>
      <c r="Q2" s="734"/>
      <c r="R2" s="734"/>
      <c r="S2" s="734"/>
      <c r="T2" s="734"/>
      <c r="U2" s="734"/>
      <c r="V2" s="734"/>
    </row>
    <row r="3" spans="2:25" x14ac:dyDescent="0.25"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8"/>
      <c r="O3" s="508"/>
    </row>
    <row r="4" spans="2:25" x14ac:dyDescent="0.25">
      <c r="B4" s="508"/>
      <c r="C4" s="508"/>
      <c r="D4" s="733" t="s">
        <v>229</v>
      </c>
      <c r="E4" s="733"/>
      <c r="F4" s="733"/>
      <c r="G4" s="733"/>
      <c r="H4" s="508"/>
      <c r="I4" s="733" t="s">
        <v>217</v>
      </c>
      <c r="J4" s="733"/>
      <c r="K4" s="733"/>
      <c r="L4" s="733"/>
      <c r="M4" s="508"/>
      <c r="N4" s="733" t="s">
        <v>218</v>
      </c>
      <c r="O4" s="733"/>
      <c r="P4" s="733"/>
      <c r="Q4" s="733"/>
      <c r="S4" s="733" t="s">
        <v>569</v>
      </c>
      <c r="T4" s="733"/>
      <c r="U4" s="733"/>
      <c r="V4" s="733"/>
    </row>
    <row r="5" spans="2:25" x14ac:dyDescent="0.25">
      <c r="B5" s="508"/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  <c r="O5" s="508"/>
      <c r="P5" s="508"/>
      <c r="Q5" s="508"/>
      <c r="S5" s="570"/>
      <c r="T5" s="570"/>
      <c r="U5" s="570"/>
      <c r="V5" s="570"/>
    </row>
    <row r="6" spans="2:25" ht="31.5" x14ac:dyDescent="0.25">
      <c r="B6" s="483"/>
      <c r="C6" s="483"/>
      <c r="D6" s="523" t="s">
        <v>573</v>
      </c>
      <c r="E6" s="523" t="s">
        <v>571</v>
      </c>
      <c r="F6" s="523" t="s">
        <v>570</v>
      </c>
      <c r="G6" s="523" t="s">
        <v>572</v>
      </c>
      <c r="H6" s="509"/>
      <c r="I6" s="523" t="s">
        <v>573</v>
      </c>
      <c r="J6" s="523" t="s">
        <v>571</v>
      </c>
      <c r="K6" s="523" t="s">
        <v>570</v>
      </c>
      <c r="L6" s="523" t="s">
        <v>572</v>
      </c>
      <c r="M6" s="510"/>
      <c r="N6" s="523" t="s">
        <v>573</v>
      </c>
      <c r="O6" s="523" t="s">
        <v>571</v>
      </c>
      <c r="P6" s="523" t="s">
        <v>570</v>
      </c>
      <c r="Q6" s="523" t="s">
        <v>572</v>
      </c>
      <c r="R6" s="510"/>
      <c r="S6" s="523" t="s">
        <v>573</v>
      </c>
      <c r="T6" s="523" t="s">
        <v>571</v>
      </c>
      <c r="U6" s="523" t="s">
        <v>570</v>
      </c>
      <c r="V6" s="523" t="s">
        <v>572</v>
      </c>
      <c r="W6" s="483"/>
      <c r="X6" s="483"/>
      <c r="Y6" s="483"/>
    </row>
    <row r="7" spans="2:25" x14ac:dyDescent="0.25">
      <c r="B7" s="483"/>
      <c r="C7" s="483"/>
      <c r="D7" s="509"/>
      <c r="E7" s="509"/>
      <c r="F7" s="509"/>
      <c r="G7" s="509"/>
      <c r="H7" s="509"/>
      <c r="I7" s="509"/>
      <c r="J7" s="509"/>
      <c r="K7" s="509"/>
      <c r="L7" s="509"/>
      <c r="M7" s="510"/>
      <c r="N7" s="509"/>
      <c r="O7" s="509"/>
      <c r="P7" s="509"/>
      <c r="Q7" s="509"/>
      <c r="R7" s="510"/>
      <c r="S7" s="509"/>
      <c r="T7" s="509"/>
      <c r="U7" s="509"/>
      <c r="V7" s="509"/>
      <c r="W7" s="483"/>
      <c r="X7" s="483"/>
      <c r="Y7" s="483"/>
    </row>
    <row r="8" spans="2:25" x14ac:dyDescent="0.25">
      <c r="B8" s="524" t="s">
        <v>574</v>
      </c>
      <c r="C8" s="511"/>
      <c r="D8" s="525">
        <v>291734.62891999999</v>
      </c>
      <c r="E8" s="671">
        <f>(D8/$D$15)*100</f>
        <v>66.236899671326015</v>
      </c>
      <c r="F8" s="525">
        <v>248601.67621000001</v>
      </c>
      <c r="G8" s="671">
        <f>(F8/$F$15)*100</f>
        <v>63.893540453696552</v>
      </c>
      <c r="H8" s="566"/>
      <c r="I8" s="525">
        <v>68815.823600000003</v>
      </c>
      <c r="J8" s="671">
        <f>(I8/$I$15)*100</f>
        <v>35.968176485959738</v>
      </c>
      <c r="K8" s="525">
        <v>54027.800080000001</v>
      </c>
      <c r="L8" s="671">
        <f>(K8/$K$15)*100</f>
        <v>33.643366027569876</v>
      </c>
      <c r="M8" s="568"/>
      <c r="N8" s="525">
        <v>4958.6969100000006</v>
      </c>
      <c r="O8" s="671">
        <f>(N8/$N$15)*100</f>
        <v>9.1480956197295829</v>
      </c>
      <c r="P8" s="526">
        <v>5057.79817</v>
      </c>
      <c r="Q8" s="671">
        <f>(P8/$P$15)*100</f>
        <v>9.5672407209963808</v>
      </c>
      <c r="R8" s="568"/>
      <c r="S8" s="525">
        <f>D8+I8+N8</f>
        <v>365509.14942999999</v>
      </c>
      <c r="T8" s="671">
        <f>(S8/$S$15)*100</f>
        <v>53.283536889866724</v>
      </c>
      <c r="U8" s="527">
        <v>307687.27446000004</v>
      </c>
      <c r="V8" s="671">
        <f>(U8/$U$15)*100</f>
        <v>51.064791742443319</v>
      </c>
      <c r="W8" s="483"/>
      <c r="X8" s="483"/>
      <c r="Y8" s="483"/>
    </row>
    <row r="9" spans="2:25" x14ac:dyDescent="0.25">
      <c r="B9" s="483"/>
      <c r="C9" s="483"/>
      <c r="D9" s="500"/>
      <c r="E9" s="672"/>
      <c r="F9" s="514"/>
      <c r="G9" s="672"/>
      <c r="H9" s="509"/>
      <c r="I9" s="515"/>
      <c r="J9" s="672"/>
      <c r="K9" s="514"/>
      <c r="L9" s="672"/>
      <c r="M9" s="510"/>
      <c r="N9" s="515"/>
      <c r="O9" s="672"/>
      <c r="P9" s="516"/>
      <c r="Q9" s="672"/>
      <c r="R9" s="510"/>
      <c r="S9" s="500"/>
      <c r="T9" s="672"/>
      <c r="U9" s="517"/>
      <c r="V9" s="672"/>
    </row>
    <row r="10" spans="2:25" x14ac:dyDescent="0.25">
      <c r="B10" s="524" t="s">
        <v>211</v>
      </c>
      <c r="C10" s="511"/>
      <c r="D10" s="525">
        <f>SUM(D11+D12+D13)</f>
        <v>148706.62114999999</v>
      </c>
      <c r="E10" s="671">
        <f>E11+E12+E13</f>
        <v>33.763100328673985</v>
      </c>
      <c r="F10" s="525">
        <f>SUM(F11+F12+F13)</f>
        <v>140485.66258</v>
      </c>
      <c r="G10" s="671">
        <f>G11+G12+G13</f>
        <v>36.106459546303448</v>
      </c>
      <c r="H10" s="566"/>
      <c r="I10" s="525">
        <f>SUM(I11+I12+I13)</f>
        <v>122508.36996</v>
      </c>
      <c r="J10" s="671">
        <f>J11+J12+J13</f>
        <v>64.031823514040269</v>
      </c>
      <c r="K10" s="525">
        <f>SUM(K11+K12+K13)</f>
        <v>106561.95790000001</v>
      </c>
      <c r="L10" s="671">
        <f>L11+L12+L13</f>
        <v>66.356633972430132</v>
      </c>
      <c r="M10" s="568"/>
      <c r="N10" s="525">
        <f>SUM(N11+N12+N13)</f>
        <v>49245.99351</v>
      </c>
      <c r="O10" s="671">
        <f>O11+O12+O13</f>
        <v>90.851904380270412</v>
      </c>
      <c r="P10" s="525">
        <f>SUM(P11+P12+P13)</f>
        <v>47808</v>
      </c>
      <c r="Q10" s="671">
        <f>Q11+Q12+Q13</f>
        <v>90.432759279003619</v>
      </c>
      <c r="R10" s="568"/>
      <c r="S10" s="525">
        <f>D10+I10+N10</f>
        <v>320460.98462</v>
      </c>
      <c r="T10" s="671">
        <f>T11+T12+T13</f>
        <v>46.716463110133276</v>
      </c>
      <c r="U10" s="526">
        <f>SUM(U11+U12+U13)</f>
        <v>294855.62048000004</v>
      </c>
      <c r="V10" s="671">
        <f>V11+V12+V13</f>
        <v>48.935208257556688</v>
      </c>
    </row>
    <row r="11" spans="2:25" x14ac:dyDescent="0.25">
      <c r="B11" s="624" t="s">
        <v>575</v>
      </c>
      <c r="C11" s="483"/>
      <c r="D11" s="494">
        <v>114786.28730999997</v>
      </c>
      <c r="E11" s="673">
        <f>(D11/$D$15)*100</f>
        <v>26.061656870639798</v>
      </c>
      <c r="F11" s="494">
        <f>105988657.87/1000</f>
        <v>105988.65787000001</v>
      </c>
      <c r="G11" s="673">
        <f>(F11/$F$15)*100</f>
        <v>27.240325578212836</v>
      </c>
      <c r="H11" s="518"/>
      <c r="I11" s="494">
        <v>49618.186999999984</v>
      </c>
      <c r="J11" s="673">
        <f>(I11/$I$15)*100</f>
        <v>25.934089190052973</v>
      </c>
      <c r="K11" s="494">
        <v>47238.701979999998</v>
      </c>
      <c r="L11" s="673">
        <f>(K11/$K$15)*100</f>
        <v>29.415762607901279</v>
      </c>
      <c r="M11" s="518"/>
      <c r="N11" s="494">
        <v>15703.706990000002</v>
      </c>
      <c r="O11" s="673">
        <f>(N11/$N$15)*100</f>
        <v>28.97112199760074</v>
      </c>
      <c r="P11" s="491">
        <v>14678</v>
      </c>
      <c r="Q11" s="673">
        <f>(P11/$P$15)*100</f>
        <v>27.764642752200785</v>
      </c>
      <c r="R11" s="518"/>
      <c r="S11" s="494">
        <v>180108.18129999997</v>
      </c>
      <c r="T11" s="673">
        <f>(S11/$S$15)*100</f>
        <v>26.255980014265752</v>
      </c>
      <c r="U11" s="494">
        <v>167905.35985000001</v>
      </c>
      <c r="V11" s="673">
        <f>(U11/$U$15)*100</f>
        <v>27.866125592057589</v>
      </c>
    </row>
    <row r="12" spans="2:25" x14ac:dyDescent="0.25">
      <c r="B12" s="624" t="s">
        <v>576</v>
      </c>
      <c r="C12" s="483"/>
      <c r="D12" s="494">
        <v>19459.300800000001</v>
      </c>
      <c r="E12" s="673">
        <f>(D12/$D$15)*100</f>
        <v>4.4181376737322644</v>
      </c>
      <c r="F12" s="494">
        <v>21386.855909999998</v>
      </c>
      <c r="G12" s="673">
        <f>(F12/$F$15)*100</f>
        <v>5.4966722835314386</v>
      </c>
      <c r="H12" s="518"/>
      <c r="I12" s="494">
        <v>21138.838479999999</v>
      </c>
      <c r="J12" s="673">
        <f>(I12/$I$15)*100</f>
        <v>11.048701205355286</v>
      </c>
      <c r="K12" s="494">
        <v>17338.855489999998</v>
      </c>
      <c r="L12" s="673">
        <f>(K12/$K$15)*100</f>
        <v>10.796987123026486</v>
      </c>
      <c r="M12" s="518"/>
      <c r="N12" s="494">
        <v>13976.023399999998</v>
      </c>
      <c r="O12" s="673">
        <f>(N12/$N$15)*100</f>
        <v>25.783789726881718</v>
      </c>
      <c r="P12" s="491">
        <v>15460</v>
      </c>
      <c r="Q12" s="673">
        <f>(P12/$P$15)*100</f>
        <v>29.243859991076722</v>
      </c>
      <c r="R12" s="518"/>
      <c r="S12" s="494">
        <v>54574.162680000001</v>
      </c>
      <c r="T12" s="673">
        <f>(S12/$S$15)*100</f>
        <v>7.9557636653642003</v>
      </c>
      <c r="U12" s="494">
        <v>54185.7114</v>
      </c>
      <c r="V12" s="673">
        <f>(U12/$U$15)*100</f>
        <v>8.9928388260881746</v>
      </c>
    </row>
    <row r="13" spans="2:25" x14ac:dyDescent="0.25">
      <c r="B13" s="624" t="s">
        <v>212</v>
      </c>
      <c r="C13" s="483"/>
      <c r="D13" s="494">
        <v>14461.033040000002</v>
      </c>
      <c r="E13" s="673">
        <f>(D13/$D$15)*100</f>
        <v>3.2833057843019224</v>
      </c>
      <c r="F13" s="494">
        <v>13110.148800000001</v>
      </c>
      <c r="G13" s="673">
        <f>(F13/$F$15)*100</f>
        <v>3.3694616845591754</v>
      </c>
      <c r="H13" s="518"/>
      <c r="I13" s="494">
        <v>51751.344480000014</v>
      </c>
      <c r="J13" s="673">
        <f>(I13/$I$15)*100</f>
        <v>27.049033118632014</v>
      </c>
      <c r="K13" s="494">
        <v>41984.400430000002</v>
      </c>
      <c r="L13" s="673">
        <f>(K13/$K$15)*100</f>
        <v>26.143884241502363</v>
      </c>
      <c r="M13" s="518"/>
      <c r="N13" s="494">
        <v>19566.26312</v>
      </c>
      <c r="O13" s="673">
        <f>(N13/$N$15)*100</f>
        <v>36.096992655787965</v>
      </c>
      <c r="P13" s="491">
        <v>17670</v>
      </c>
      <c r="Q13" s="673">
        <f>(P13/$P$15)*100</f>
        <v>33.424256535726109</v>
      </c>
      <c r="R13" s="518"/>
      <c r="S13" s="494">
        <v>85778.640640000012</v>
      </c>
      <c r="T13" s="673">
        <f>(S13/$S$15)*100</f>
        <v>12.50471943050332</v>
      </c>
      <c r="U13" s="494">
        <v>72764.549230000004</v>
      </c>
      <c r="V13" s="673">
        <f>(U13/$U$15)*100</f>
        <v>12.076243839410926</v>
      </c>
    </row>
    <row r="14" spans="2:25" x14ac:dyDescent="0.25">
      <c r="B14" s="483"/>
      <c r="C14" s="483"/>
      <c r="D14" s="483"/>
      <c r="E14" s="672"/>
      <c r="F14" s="483"/>
      <c r="G14" s="672"/>
      <c r="H14" s="519"/>
      <c r="I14" s="483"/>
      <c r="J14" s="672"/>
      <c r="K14" s="483"/>
      <c r="L14" s="672"/>
      <c r="M14" s="519"/>
      <c r="N14" s="483"/>
      <c r="O14" s="672"/>
      <c r="P14" s="519"/>
      <c r="Q14" s="672"/>
      <c r="R14" s="519"/>
      <c r="T14" s="672"/>
      <c r="U14" s="519"/>
      <c r="V14" s="672"/>
    </row>
    <row r="15" spans="2:25" ht="18.75" x14ac:dyDescent="0.3">
      <c r="B15" s="479" t="s">
        <v>0</v>
      </c>
      <c r="C15" s="607"/>
      <c r="D15" s="528">
        <f>SUM(D8+D10)</f>
        <v>440441.25006999995</v>
      </c>
      <c r="E15" s="674">
        <f>E8+E10</f>
        <v>100</v>
      </c>
      <c r="F15" s="528">
        <f>SUM(F8+F10)</f>
        <v>389087.33879000001</v>
      </c>
      <c r="G15" s="674">
        <f>G8+G10</f>
        <v>100</v>
      </c>
      <c r="H15" s="567"/>
      <c r="I15" s="528">
        <f>SUM(I8+I10)</f>
        <v>191324.19355999999</v>
      </c>
      <c r="J15" s="674">
        <f>J8+J10</f>
        <v>100</v>
      </c>
      <c r="K15" s="528">
        <f>SUM(K8+K10)</f>
        <v>160589.75797999999</v>
      </c>
      <c r="L15" s="674">
        <f>L8+L10</f>
        <v>100</v>
      </c>
      <c r="M15" s="567"/>
      <c r="N15" s="528">
        <f>SUM(N8+N10)</f>
        <v>54204.690419999999</v>
      </c>
      <c r="O15" s="674">
        <f>O8+O10</f>
        <v>100</v>
      </c>
      <c r="P15" s="528">
        <f>SUM(P8+P10)</f>
        <v>52865.798170000002</v>
      </c>
      <c r="Q15" s="674">
        <f>Q8+Q10</f>
        <v>100</v>
      </c>
      <c r="R15" s="567"/>
      <c r="S15" s="528">
        <f>SUM(S8+S10)</f>
        <v>685970.13404999999</v>
      </c>
      <c r="T15" s="674">
        <f>T8+T10</f>
        <v>100</v>
      </c>
      <c r="U15" s="529">
        <f>SUM(U8+U10)</f>
        <v>602542.89494000003</v>
      </c>
      <c r="V15" s="674">
        <f>V8+V10</f>
        <v>100</v>
      </c>
    </row>
    <row r="16" spans="2:25" x14ac:dyDescent="0.25">
      <c r="B16" s="483"/>
      <c r="C16" s="483"/>
      <c r="D16" s="509"/>
      <c r="E16" s="509"/>
      <c r="F16" s="509"/>
      <c r="G16" s="509"/>
      <c r="H16" s="509"/>
      <c r="I16" s="509"/>
      <c r="J16" s="509"/>
      <c r="K16" s="509"/>
      <c r="L16" s="509"/>
      <c r="M16" s="510"/>
      <c r="N16" s="509"/>
      <c r="O16" s="509"/>
      <c r="P16" s="509"/>
      <c r="Q16" s="509"/>
      <c r="R16" s="510"/>
      <c r="S16" s="509"/>
      <c r="T16" s="509"/>
      <c r="U16" s="509"/>
      <c r="V16" s="509"/>
    </row>
    <row r="17" spans="2:15" s="520" customFormat="1" x14ac:dyDescent="0.25">
      <c r="B17" s="483"/>
      <c r="C17" s="483"/>
      <c r="D17" s="483"/>
      <c r="E17" s="483"/>
      <c r="F17" s="483"/>
      <c r="G17" s="483"/>
      <c r="H17" s="483"/>
      <c r="I17" s="483"/>
      <c r="J17" s="511"/>
      <c r="K17" s="511"/>
      <c r="L17" s="511"/>
      <c r="M17" s="511"/>
      <c r="N17" s="511"/>
      <c r="O17" s="511"/>
    </row>
    <row r="18" spans="2:15" s="520" customFormat="1" x14ac:dyDescent="0.25">
      <c r="B18" s="483"/>
      <c r="C18" s="483"/>
      <c r="D18" s="483"/>
      <c r="E18" s="483"/>
      <c r="F18" s="483"/>
      <c r="G18" s="483"/>
      <c r="H18" s="483"/>
      <c r="I18" s="483"/>
      <c r="J18" s="513"/>
      <c r="K18" s="521"/>
      <c r="L18" s="511"/>
      <c r="M18" s="511"/>
      <c r="N18" s="511"/>
      <c r="O18" s="511"/>
    </row>
    <row r="19" spans="2:15" s="520" customFormat="1" x14ac:dyDescent="0.25">
      <c r="B19" s="483"/>
      <c r="C19" s="483"/>
      <c r="D19" s="483"/>
      <c r="E19" s="483"/>
      <c r="F19" s="483"/>
      <c r="G19" s="483"/>
      <c r="H19" s="483"/>
      <c r="I19" s="483"/>
      <c r="J19" s="513"/>
      <c r="K19" s="521"/>
      <c r="L19" s="511"/>
      <c r="M19" s="511"/>
      <c r="N19" s="511"/>
      <c r="O19" s="511"/>
    </row>
    <row r="20" spans="2:15" s="520" customFormat="1" x14ac:dyDescent="0.25">
      <c r="B20" s="483"/>
      <c r="C20" s="483"/>
      <c r="D20" s="483"/>
      <c r="E20" s="483"/>
      <c r="F20" s="483"/>
      <c r="G20" s="483"/>
      <c r="H20" s="483"/>
      <c r="I20" s="483"/>
      <c r="J20" s="513"/>
      <c r="K20" s="521"/>
      <c r="L20" s="511"/>
      <c r="M20" s="511"/>
      <c r="N20" s="511"/>
      <c r="O20" s="511"/>
    </row>
    <row r="21" spans="2:15" s="520" customFormat="1" x14ac:dyDescent="0.25">
      <c r="B21" s="483"/>
      <c r="C21" s="483"/>
      <c r="D21" s="483"/>
      <c r="E21" s="483"/>
      <c r="F21" s="483"/>
      <c r="G21" s="483"/>
      <c r="H21" s="483"/>
      <c r="I21" s="483"/>
      <c r="J21" s="513"/>
      <c r="K21" s="521"/>
      <c r="L21" s="511"/>
      <c r="M21" s="511"/>
      <c r="N21" s="511"/>
      <c r="O21" s="511"/>
    </row>
    <row r="22" spans="2:15" s="520" customFormat="1" x14ac:dyDescent="0.25">
      <c r="B22" s="483"/>
      <c r="C22" s="483"/>
      <c r="D22" s="483"/>
      <c r="E22" s="483"/>
      <c r="F22" s="483"/>
      <c r="G22" s="483"/>
      <c r="H22" s="483"/>
      <c r="I22" s="483"/>
      <c r="J22" s="513"/>
      <c r="K22" s="521"/>
      <c r="L22" s="511"/>
      <c r="M22" s="511"/>
      <c r="N22" s="511"/>
      <c r="O22" s="511"/>
    </row>
    <row r="23" spans="2:15" s="520" customFormat="1" x14ac:dyDescent="0.25">
      <c r="B23" s="483"/>
      <c r="C23" s="483"/>
      <c r="D23" s="483"/>
      <c r="E23" s="483"/>
      <c r="F23" s="483"/>
      <c r="G23" s="483"/>
      <c r="H23" s="483"/>
      <c r="I23" s="483"/>
      <c r="J23" s="513"/>
      <c r="K23" s="521"/>
      <c r="L23" s="511"/>
      <c r="M23" s="511"/>
      <c r="N23" s="511"/>
      <c r="O23" s="511"/>
    </row>
    <row r="24" spans="2:15" s="520" customFormat="1" x14ac:dyDescent="0.25">
      <c r="B24" s="483"/>
      <c r="C24" s="483"/>
      <c r="D24" s="483"/>
      <c r="E24" s="483"/>
      <c r="F24" s="483"/>
      <c r="G24" s="483"/>
      <c r="H24" s="483"/>
      <c r="I24" s="483"/>
      <c r="J24" s="513"/>
      <c r="K24" s="521"/>
      <c r="L24" s="511"/>
      <c r="M24" s="511"/>
      <c r="N24" s="511"/>
      <c r="O24" s="511"/>
    </row>
    <row r="25" spans="2:15" s="520" customFormat="1" x14ac:dyDescent="0.25">
      <c r="B25" s="511"/>
      <c r="C25" s="511"/>
      <c r="D25" s="511"/>
      <c r="E25" s="511"/>
      <c r="F25" s="511"/>
      <c r="G25" s="511"/>
      <c r="H25" s="511"/>
      <c r="I25" s="511"/>
      <c r="J25" s="513"/>
      <c r="K25" s="521"/>
      <c r="L25" s="511"/>
      <c r="M25" s="511"/>
      <c r="N25" s="511"/>
      <c r="O25" s="511"/>
    </row>
    <row r="26" spans="2:15" s="520" customFormat="1" x14ac:dyDescent="0.25">
      <c r="B26" s="512"/>
      <c r="C26" s="512"/>
      <c r="D26" s="512"/>
      <c r="E26" s="521"/>
      <c r="F26" s="512"/>
      <c r="G26" s="521"/>
      <c r="H26" s="512"/>
      <c r="I26" s="521"/>
      <c r="J26" s="513"/>
      <c r="K26" s="521"/>
      <c r="L26" s="511"/>
      <c r="M26" s="511"/>
      <c r="N26" s="511"/>
      <c r="O26" s="511"/>
    </row>
    <row r="27" spans="2:15" s="520" customFormat="1" x14ac:dyDescent="0.25">
      <c r="B27" s="512"/>
      <c r="C27" s="512"/>
      <c r="D27" s="512"/>
      <c r="E27" s="521"/>
      <c r="F27" s="512"/>
      <c r="G27" s="521"/>
      <c r="H27" s="512"/>
      <c r="I27" s="521"/>
      <c r="J27" s="513"/>
      <c r="K27" s="521"/>
      <c r="L27" s="511"/>
      <c r="M27" s="511"/>
      <c r="N27" s="511"/>
      <c r="O27" s="511"/>
    </row>
    <row r="28" spans="2:15" s="520" customFormat="1" x14ac:dyDescent="0.25">
      <c r="B28" s="512"/>
      <c r="C28" s="512"/>
      <c r="D28" s="512"/>
      <c r="E28" s="521"/>
      <c r="F28" s="512"/>
      <c r="G28" s="521"/>
      <c r="H28" s="512"/>
      <c r="I28" s="521"/>
      <c r="J28" s="513"/>
      <c r="K28" s="521"/>
      <c r="L28" s="511"/>
      <c r="M28" s="511"/>
      <c r="N28" s="511"/>
      <c r="O28" s="511"/>
    </row>
    <row r="29" spans="2:15" s="520" customFormat="1" x14ac:dyDescent="0.25">
      <c r="B29" s="512"/>
      <c r="C29" s="512"/>
      <c r="D29" s="512"/>
      <c r="E29" s="521"/>
      <c r="F29" s="512"/>
      <c r="G29" s="521"/>
      <c r="H29" s="512"/>
      <c r="I29" s="521"/>
      <c r="J29" s="513"/>
      <c r="K29" s="521"/>
      <c r="L29" s="511"/>
      <c r="M29" s="511"/>
      <c r="N29" s="511"/>
      <c r="O29" s="511"/>
    </row>
    <row r="30" spans="2:15" x14ac:dyDescent="0.25">
      <c r="B30" s="512"/>
      <c r="C30" s="512"/>
      <c r="D30" s="512"/>
      <c r="E30" s="521"/>
      <c r="F30" s="512"/>
      <c r="G30" s="521"/>
      <c r="H30" s="512"/>
      <c r="I30" s="521"/>
      <c r="J30" s="483"/>
      <c r="K30" s="483"/>
      <c r="L30" s="483"/>
      <c r="M30" s="483"/>
      <c r="N30" s="483"/>
      <c r="O30" s="483"/>
    </row>
    <row r="31" spans="2:15" ht="17.25" customHeight="1" x14ac:dyDescent="0.25">
      <c r="B31" s="512"/>
      <c r="C31" s="512"/>
      <c r="D31" s="512"/>
      <c r="E31" s="521"/>
      <c r="F31" s="512"/>
      <c r="G31" s="521"/>
      <c r="H31" s="512"/>
      <c r="I31" s="521"/>
      <c r="J31" s="483"/>
      <c r="K31" s="483"/>
      <c r="L31" s="483"/>
      <c r="M31" s="483"/>
      <c r="N31" s="483"/>
      <c r="O31" s="483"/>
    </row>
    <row r="32" spans="2:15" x14ac:dyDescent="0.25">
      <c r="B32" s="512"/>
      <c r="C32" s="512"/>
      <c r="D32" s="512"/>
      <c r="E32" s="521"/>
      <c r="F32" s="512"/>
      <c r="G32" s="521"/>
      <c r="H32" s="512"/>
      <c r="I32" s="521"/>
      <c r="J32" s="483"/>
      <c r="K32" s="483"/>
      <c r="L32" s="483"/>
      <c r="M32" s="483"/>
      <c r="N32" s="483"/>
      <c r="O32" s="483"/>
    </row>
    <row r="33" spans="2:15" x14ac:dyDescent="0.25">
      <c r="B33" s="512"/>
      <c r="C33" s="512"/>
      <c r="D33" s="512"/>
      <c r="E33" s="521"/>
      <c r="F33" s="512"/>
      <c r="G33" s="521"/>
      <c r="H33" s="512"/>
      <c r="I33" s="521"/>
      <c r="J33" s="483"/>
      <c r="K33" s="483"/>
      <c r="L33" s="483"/>
      <c r="M33" s="483"/>
      <c r="N33" s="483"/>
      <c r="O33" s="483"/>
    </row>
    <row r="34" spans="2:15" x14ac:dyDescent="0.25">
      <c r="B34" s="512"/>
      <c r="C34" s="512"/>
      <c r="D34" s="512"/>
      <c r="E34" s="521"/>
      <c r="F34" s="512"/>
      <c r="G34" s="521"/>
      <c r="H34" s="512"/>
      <c r="I34" s="521"/>
      <c r="J34" s="483"/>
      <c r="K34" s="483"/>
      <c r="L34" s="483"/>
      <c r="M34" s="483"/>
      <c r="N34" s="483"/>
      <c r="O34" s="483"/>
    </row>
    <row r="35" spans="2:15" x14ac:dyDescent="0.25">
      <c r="B35" s="512"/>
      <c r="C35" s="512"/>
      <c r="D35" s="512"/>
      <c r="E35" s="521"/>
      <c r="F35" s="512"/>
      <c r="G35" s="521"/>
      <c r="H35" s="512"/>
      <c r="I35" s="521"/>
      <c r="J35" s="483"/>
      <c r="K35" s="483"/>
      <c r="L35" s="483"/>
      <c r="M35" s="483"/>
      <c r="N35" s="483"/>
      <c r="O35" s="483"/>
    </row>
    <row r="36" spans="2:15" x14ac:dyDescent="0.25">
      <c r="B36" s="512"/>
      <c r="C36" s="512"/>
      <c r="D36" s="512"/>
      <c r="E36" s="521"/>
      <c r="F36" s="512"/>
      <c r="G36" s="521"/>
      <c r="H36" s="512"/>
      <c r="I36" s="521"/>
      <c r="J36" s="483"/>
      <c r="K36" s="483"/>
      <c r="L36" s="483"/>
      <c r="M36" s="483"/>
      <c r="N36" s="483"/>
      <c r="O36" s="483"/>
    </row>
    <row r="37" spans="2:15" x14ac:dyDescent="0.25">
      <c r="B37" s="512"/>
      <c r="C37" s="512"/>
      <c r="D37" s="512"/>
      <c r="E37" s="521"/>
      <c r="F37" s="512"/>
      <c r="G37" s="521"/>
      <c r="H37" s="512"/>
      <c r="I37" s="521"/>
      <c r="J37" s="483"/>
      <c r="K37" s="483"/>
      <c r="L37" s="483"/>
      <c r="M37" s="483"/>
      <c r="N37" s="483"/>
      <c r="O37" s="483"/>
    </row>
    <row r="38" spans="2:15" x14ac:dyDescent="0.25">
      <c r="B38" s="483"/>
      <c r="C38" s="483"/>
      <c r="D38" s="483"/>
      <c r="E38" s="483"/>
      <c r="F38" s="483"/>
      <c r="G38" s="483"/>
      <c r="H38" s="483"/>
      <c r="I38" s="483"/>
      <c r="J38" s="483"/>
      <c r="K38" s="483"/>
      <c r="L38" s="483"/>
      <c r="M38" s="483"/>
      <c r="N38" s="483"/>
      <c r="O38" s="483"/>
    </row>
    <row r="39" spans="2:15" x14ac:dyDescent="0.25">
      <c r="B39" s="483"/>
      <c r="C39" s="483"/>
      <c r="D39" s="483"/>
      <c r="E39" s="483"/>
      <c r="F39" s="483"/>
      <c r="G39" s="483"/>
      <c r="H39" s="483"/>
      <c r="I39" s="483"/>
      <c r="J39" s="483"/>
      <c r="K39" s="483"/>
      <c r="L39" s="483"/>
      <c r="M39" s="483"/>
      <c r="N39" s="483"/>
      <c r="O39" s="483"/>
    </row>
    <row r="40" spans="2:15" x14ac:dyDescent="0.25">
      <c r="B40" s="483"/>
      <c r="C40" s="483"/>
      <c r="D40" s="483"/>
      <c r="E40" s="483"/>
      <c r="F40" s="483"/>
      <c r="G40" s="483"/>
      <c r="H40" s="483"/>
      <c r="I40" s="483"/>
      <c r="J40" s="483"/>
      <c r="K40" s="483"/>
      <c r="L40" s="483"/>
      <c r="M40" s="483"/>
      <c r="N40" s="483"/>
      <c r="O40" s="483"/>
    </row>
    <row r="41" spans="2:15" x14ac:dyDescent="0.25">
      <c r="B41" s="483"/>
      <c r="C41" s="483"/>
      <c r="D41" s="483"/>
      <c r="E41" s="483"/>
      <c r="F41" s="483"/>
      <c r="G41" s="483"/>
      <c r="H41" s="483"/>
      <c r="I41" s="483"/>
      <c r="J41" s="483"/>
      <c r="K41" s="483"/>
      <c r="L41" s="483"/>
      <c r="M41" s="483"/>
      <c r="N41" s="483"/>
      <c r="O41" s="483"/>
    </row>
    <row r="42" spans="2:15" x14ac:dyDescent="0.25">
      <c r="B42" s="483"/>
      <c r="C42" s="483"/>
      <c r="D42" s="483"/>
      <c r="E42" s="483"/>
      <c r="F42" s="483"/>
      <c r="G42" s="483"/>
      <c r="H42" s="483"/>
      <c r="I42" s="483"/>
      <c r="J42" s="483"/>
      <c r="K42" s="483"/>
      <c r="L42" s="483"/>
      <c r="M42" s="483"/>
      <c r="N42" s="483"/>
      <c r="O42" s="483"/>
    </row>
    <row r="43" spans="2:15" x14ac:dyDescent="0.25">
      <c r="B43" s="483"/>
      <c r="C43" s="483"/>
      <c r="D43" s="483"/>
      <c r="E43" s="483"/>
      <c r="F43" s="483"/>
      <c r="G43" s="483"/>
      <c r="H43" s="483"/>
      <c r="I43" s="483"/>
      <c r="J43" s="483"/>
      <c r="K43" s="483"/>
      <c r="L43" s="483"/>
      <c r="M43" s="483"/>
      <c r="N43" s="483"/>
      <c r="O43" s="483"/>
    </row>
    <row r="44" spans="2:15" x14ac:dyDescent="0.25">
      <c r="B44" s="483"/>
      <c r="C44" s="483"/>
      <c r="D44" s="483"/>
      <c r="E44" s="483"/>
      <c r="F44" s="483"/>
      <c r="G44" s="483"/>
      <c r="H44" s="483"/>
      <c r="I44" s="483"/>
      <c r="J44" s="483"/>
      <c r="K44" s="483"/>
      <c r="L44" s="483"/>
      <c r="M44" s="483"/>
      <c r="N44" s="483"/>
      <c r="O44" s="483"/>
    </row>
    <row r="45" spans="2:15" x14ac:dyDescent="0.25">
      <c r="B45" s="483"/>
      <c r="C45" s="483"/>
      <c r="D45" s="483"/>
      <c r="E45" s="483"/>
      <c r="F45" s="483"/>
      <c r="G45" s="483"/>
      <c r="H45" s="483"/>
      <c r="I45" s="483"/>
      <c r="J45" s="483"/>
      <c r="K45" s="483"/>
      <c r="L45" s="483"/>
      <c r="M45" s="483"/>
      <c r="N45" s="483"/>
      <c r="O45" s="483"/>
    </row>
    <row r="46" spans="2:15" x14ac:dyDescent="0.25">
      <c r="B46" s="483"/>
      <c r="C46" s="483"/>
      <c r="D46" s="483"/>
      <c r="E46" s="483"/>
      <c r="F46" s="483"/>
      <c r="G46" s="483"/>
      <c r="H46" s="483"/>
      <c r="I46" s="483"/>
      <c r="J46" s="483"/>
      <c r="K46" s="483"/>
      <c r="L46" s="483"/>
      <c r="M46" s="483"/>
      <c r="N46" s="483"/>
      <c r="O46" s="483"/>
    </row>
    <row r="47" spans="2:15" x14ac:dyDescent="0.25">
      <c r="B47" s="483"/>
      <c r="C47" s="483"/>
      <c r="D47" s="483"/>
      <c r="E47" s="483"/>
      <c r="F47" s="483"/>
      <c r="G47" s="483"/>
      <c r="H47" s="483"/>
      <c r="I47" s="483"/>
      <c r="J47" s="483"/>
      <c r="K47" s="483"/>
      <c r="L47" s="483"/>
      <c r="M47" s="483"/>
      <c r="N47" s="483"/>
      <c r="O47" s="483"/>
    </row>
    <row r="48" spans="2:15" x14ac:dyDescent="0.25">
      <c r="B48" s="483"/>
      <c r="C48" s="483"/>
      <c r="D48" s="483"/>
      <c r="E48" s="483"/>
      <c r="F48" s="483"/>
      <c r="G48" s="483"/>
      <c r="H48" s="483"/>
      <c r="I48" s="483"/>
      <c r="J48" s="483"/>
      <c r="K48" s="483"/>
      <c r="L48" s="483"/>
      <c r="M48" s="483"/>
      <c r="N48" s="483"/>
      <c r="O48" s="483"/>
    </row>
    <row r="49" spans="1:15" x14ac:dyDescent="0.25">
      <c r="A49" s="521"/>
      <c r="B49" s="483"/>
      <c r="C49" s="483"/>
      <c r="D49" s="483"/>
      <c r="E49" s="483"/>
      <c r="F49" s="483"/>
      <c r="G49" s="483"/>
      <c r="H49" s="483"/>
      <c r="I49" s="483"/>
      <c r="J49" s="483"/>
      <c r="K49" s="483"/>
      <c r="L49" s="483"/>
      <c r="M49" s="483"/>
      <c r="N49" s="483"/>
      <c r="O49" s="483"/>
    </row>
    <row r="50" spans="1:15" x14ac:dyDescent="0.25">
      <c r="B50" s="483"/>
      <c r="C50" s="483"/>
      <c r="D50" s="483"/>
      <c r="E50" s="483"/>
      <c r="F50" s="483"/>
      <c r="G50" s="483"/>
      <c r="H50" s="483"/>
      <c r="I50" s="483"/>
      <c r="J50" s="483"/>
      <c r="K50" s="483"/>
      <c r="L50" s="483"/>
      <c r="M50" s="483"/>
      <c r="N50" s="483"/>
      <c r="O50" s="483"/>
    </row>
    <row r="51" spans="1:15" x14ac:dyDescent="0.25">
      <c r="B51" s="483"/>
      <c r="C51" s="483"/>
      <c r="D51" s="483"/>
      <c r="E51" s="483"/>
      <c r="F51" s="483"/>
      <c r="G51" s="483"/>
      <c r="H51" s="483"/>
      <c r="I51" s="483"/>
      <c r="J51" s="483"/>
      <c r="K51" s="483"/>
      <c r="L51" s="483"/>
      <c r="M51" s="483"/>
      <c r="N51" s="483"/>
      <c r="O51" s="483"/>
    </row>
    <row r="52" spans="1:15" x14ac:dyDescent="0.25">
      <c r="B52" s="483"/>
      <c r="C52" s="483"/>
      <c r="D52" s="483"/>
      <c r="E52" s="483"/>
      <c r="F52" s="483"/>
      <c r="G52" s="483"/>
      <c r="H52" s="483"/>
      <c r="I52" s="483"/>
      <c r="J52" s="483"/>
      <c r="K52" s="483"/>
      <c r="L52" s="483"/>
      <c r="M52" s="483"/>
      <c r="N52" s="483"/>
      <c r="O52" s="483"/>
    </row>
    <row r="53" spans="1:15" x14ac:dyDescent="0.25">
      <c r="B53" s="483"/>
      <c r="C53" s="483"/>
      <c r="D53" s="483"/>
      <c r="E53" s="483"/>
      <c r="F53" s="483"/>
      <c r="G53" s="483"/>
      <c r="H53" s="483"/>
      <c r="I53" s="483"/>
      <c r="J53" s="483"/>
      <c r="K53" s="483"/>
      <c r="L53" s="483"/>
      <c r="M53" s="483"/>
      <c r="N53" s="483"/>
      <c r="O53" s="483"/>
    </row>
    <row r="54" spans="1:15" x14ac:dyDescent="0.25">
      <c r="B54" s="483"/>
      <c r="C54" s="483"/>
      <c r="D54" s="483"/>
      <c r="E54" s="483"/>
      <c r="F54" s="483"/>
      <c r="G54" s="483"/>
      <c r="H54" s="483"/>
      <c r="I54" s="483"/>
      <c r="J54" s="483"/>
      <c r="K54" s="483"/>
      <c r="L54" s="483"/>
      <c r="M54" s="483"/>
      <c r="N54" s="483"/>
      <c r="O54" s="483"/>
    </row>
    <row r="55" spans="1:15" x14ac:dyDescent="0.25">
      <c r="B55" s="483"/>
      <c r="C55" s="483"/>
      <c r="D55" s="483"/>
      <c r="E55" s="483"/>
      <c r="F55" s="483"/>
      <c r="G55" s="483"/>
      <c r="H55" s="483"/>
      <c r="I55" s="483"/>
      <c r="J55" s="483"/>
      <c r="K55" s="483"/>
      <c r="L55" s="483"/>
      <c r="M55" s="483"/>
      <c r="N55" s="483"/>
      <c r="O55" s="483"/>
    </row>
    <row r="56" spans="1:15" x14ac:dyDescent="0.25">
      <c r="B56" s="483"/>
      <c r="C56" s="483"/>
      <c r="D56" s="483"/>
      <c r="E56" s="483"/>
      <c r="F56" s="483"/>
      <c r="G56" s="483"/>
      <c r="H56" s="483"/>
      <c r="I56" s="483"/>
      <c r="J56" s="483"/>
      <c r="K56" s="483"/>
      <c r="L56" s="483"/>
      <c r="M56" s="483"/>
      <c r="N56" s="483"/>
      <c r="O56" s="483"/>
    </row>
    <row r="57" spans="1:15" x14ac:dyDescent="0.25">
      <c r="B57" s="483"/>
      <c r="C57" s="483"/>
      <c r="D57" s="483"/>
      <c r="E57" s="483"/>
      <c r="F57" s="483"/>
      <c r="G57" s="483"/>
      <c r="H57" s="483"/>
      <c r="I57" s="483"/>
      <c r="J57" s="483"/>
      <c r="K57" s="483"/>
      <c r="L57" s="483"/>
      <c r="M57" s="483"/>
      <c r="N57" s="483"/>
      <c r="O57" s="483"/>
    </row>
    <row r="58" spans="1:15" x14ac:dyDescent="0.25">
      <c r="F58" s="522"/>
      <c r="H58" s="522"/>
    </row>
    <row r="59" spans="1:15" x14ac:dyDescent="0.25">
      <c r="F59" s="522"/>
      <c r="H59" s="522"/>
    </row>
    <row r="60" spans="1:15" x14ac:dyDescent="0.25">
      <c r="F60" s="522"/>
      <c r="H60" s="522"/>
    </row>
    <row r="61" spans="1:15" x14ac:dyDescent="0.25">
      <c r="F61" s="522"/>
      <c r="H61" s="522"/>
    </row>
    <row r="62" spans="1:15" x14ac:dyDescent="0.25">
      <c r="F62" s="522"/>
      <c r="H62" s="522"/>
    </row>
    <row r="63" spans="1:15" x14ac:dyDescent="0.25">
      <c r="F63" s="522"/>
      <c r="H63" s="522"/>
    </row>
    <row r="64" spans="1:15" x14ac:dyDescent="0.25">
      <c r="F64" s="522"/>
      <c r="H64" s="522"/>
    </row>
    <row r="65" spans="6:8" x14ac:dyDescent="0.25">
      <c r="F65" s="522"/>
      <c r="H65" s="522"/>
    </row>
    <row r="66" spans="6:8" x14ac:dyDescent="0.25">
      <c r="F66" s="522"/>
      <c r="H66" s="522"/>
    </row>
    <row r="67" spans="6:8" x14ac:dyDescent="0.25">
      <c r="F67" s="522"/>
      <c r="H67" s="522"/>
    </row>
    <row r="68" spans="6:8" x14ac:dyDescent="0.25">
      <c r="F68" s="522"/>
      <c r="H68" s="522"/>
    </row>
  </sheetData>
  <mergeCells count="5">
    <mergeCell ref="D4:G4"/>
    <mergeCell ref="I4:L4"/>
    <mergeCell ref="N4:Q4"/>
    <mergeCell ref="S4:V4"/>
    <mergeCell ref="B2:V2"/>
  </mergeCells>
  <printOptions horizontalCentered="1" verticalCentered="1"/>
  <pageMargins left="0" right="0" top="0" bottom="0" header="0" footer="0"/>
  <pageSetup paperSize="9" orientation="landscape" r:id="rId1"/>
  <ignoredErrors>
    <ignoredError sqref="J10:K10 O10:P10 E10:F10 E15:F15 J15:K15 O15:P15 U10 T15:U1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38DD5"/>
    <pageSetUpPr fitToPage="1"/>
  </sheetPr>
  <dimension ref="A1:Y40"/>
  <sheetViews>
    <sheetView showGridLines="0" topLeftCell="C1" workbookViewId="0">
      <selection activeCell="R9" sqref="R9:R13"/>
    </sheetView>
  </sheetViews>
  <sheetFormatPr baseColWidth="10" defaultColWidth="11" defaultRowHeight="15.75" x14ac:dyDescent="0.25"/>
  <cols>
    <col min="1" max="1" width="5.75" style="336" customWidth="1"/>
    <col min="2" max="2" width="19.25" style="235" customWidth="1"/>
    <col min="3" max="3" width="1" style="385" customWidth="1"/>
    <col min="4" max="6" width="11.25" style="235" customWidth="1"/>
    <col min="7" max="7" width="1" style="1" customWidth="1"/>
    <col min="8" max="10" width="11.25" style="235" customWidth="1"/>
    <col min="11" max="11" width="1" style="336" customWidth="1"/>
    <col min="12" max="14" width="11.25" style="235" customWidth="1"/>
    <col min="15" max="15" width="1" style="1" customWidth="1"/>
    <col min="16" max="18" width="11.25" style="235" customWidth="1"/>
    <col min="19" max="19" width="1" style="336" customWidth="1"/>
    <col min="20" max="21" width="11.25" style="235" customWidth="1"/>
    <col min="22" max="22" width="1" style="336" customWidth="1"/>
    <col min="23" max="24" width="11.25" style="235" customWidth="1"/>
    <col min="25" max="16384" width="11" style="235"/>
  </cols>
  <sheetData>
    <row r="1" spans="1:25" s="336" customFormat="1" x14ac:dyDescent="0.25">
      <c r="C1" s="385"/>
      <c r="G1" s="1"/>
      <c r="O1" s="1"/>
    </row>
    <row r="2" spans="1:25" s="1" customFormat="1" ht="18.75" x14ac:dyDescent="0.3">
      <c r="B2" s="737" t="s">
        <v>577</v>
      </c>
      <c r="C2" s="737"/>
      <c r="D2" s="737"/>
      <c r="E2" s="737"/>
      <c r="F2" s="737"/>
      <c r="G2" s="737"/>
      <c r="H2" s="737"/>
      <c r="I2" s="737"/>
      <c r="J2" s="737"/>
      <c r="K2" s="737"/>
      <c r="L2" s="737"/>
      <c r="M2" s="737"/>
      <c r="N2" s="737"/>
      <c r="O2" s="737"/>
      <c r="P2" s="737"/>
      <c r="Q2" s="737"/>
      <c r="R2" s="737"/>
      <c r="S2" s="737"/>
      <c r="T2" s="737"/>
      <c r="U2" s="737"/>
      <c r="V2" s="737"/>
      <c r="W2" s="737"/>
      <c r="X2" s="737"/>
    </row>
    <row r="3" spans="1:25" s="1" customFormat="1" ht="18.75" x14ac:dyDescent="0.3">
      <c r="B3" s="332"/>
      <c r="C3" s="608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</row>
    <row r="4" spans="1:25" s="1" customFormat="1" ht="18.75" x14ac:dyDescent="0.3">
      <c r="B4" s="332"/>
      <c r="C4" s="608"/>
      <c r="D4" s="737" t="s">
        <v>26</v>
      </c>
      <c r="E4" s="737"/>
      <c r="F4" s="737"/>
      <c r="G4" s="737"/>
      <c r="H4" s="737"/>
      <c r="I4" s="737"/>
      <c r="J4" s="737"/>
      <c r="K4" s="332"/>
      <c r="L4" s="737" t="s">
        <v>27</v>
      </c>
      <c r="M4" s="737"/>
      <c r="N4" s="737"/>
      <c r="O4" s="737"/>
      <c r="P4" s="737"/>
      <c r="Q4" s="737"/>
      <c r="R4" s="737"/>
      <c r="S4" s="332"/>
      <c r="T4" s="735" t="s">
        <v>578</v>
      </c>
      <c r="U4" s="735"/>
      <c r="V4" s="735"/>
      <c r="W4" s="735"/>
      <c r="X4" s="735"/>
    </row>
    <row r="5" spans="1:25" x14ac:dyDescent="0.25">
      <c r="B5" s="160"/>
      <c r="C5" s="609"/>
      <c r="D5" s="738"/>
      <c r="E5" s="738"/>
      <c r="F5" s="738"/>
      <c r="G5" s="738"/>
      <c r="H5" s="738"/>
      <c r="I5" s="738"/>
      <c r="J5" s="738"/>
      <c r="K5" s="738"/>
      <c r="L5" s="738"/>
      <c r="M5" s="738"/>
    </row>
    <row r="6" spans="1:25" x14ac:dyDescent="0.25">
      <c r="A6" s="4"/>
      <c r="B6" s="167"/>
      <c r="C6" s="404"/>
      <c r="D6" s="739">
        <v>2017</v>
      </c>
      <c r="E6" s="739"/>
      <c r="F6" s="739"/>
      <c r="G6" s="342"/>
      <c r="H6" s="736">
        <v>2016</v>
      </c>
      <c r="I6" s="736"/>
      <c r="J6" s="736"/>
      <c r="K6" s="338"/>
      <c r="L6" s="739">
        <v>2017</v>
      </c>
      <c r="M6" s="739"/>
      <c r="N6" s="739"/>
      <c r="O6" s="342"/>
      <c r="P6" s="736">
        <v>2016</v>
      </c>
      <c r="Q6" s="736"/>
      <c r="R6" s="736"/>
      <c r="S6" s="233"/>
      <c r="T6" s="739">
        <v>2017</v>
      </c>
      <c r="U6" s="739"/>
      <c r="V6" s="335"/>
      <c r="W6" s="736">
        <v>2016</v>
      </c>
      <c r="X6" s="736"/>
      <c r="Y6" s="4"/>
    </row>
    <row r="7" spans="1:25" x14ac:dyDescent="0.25">
      <c r="A7" s="4"/>
      <c r="B7" s="167"/>
      <c r="C7" s="404"/>
      <c r="D7" s="340" t="s">
        <v>659</v>
      </c>
      <c r="E7" s="341" t="s">
        <v>579</v>
      </c>
      <c r="F7" s="340" t="s">
        <v>28</v>
      </c>
      <c r="G7" s="342"/>
      <c r="H7" s="561" t="s">
        <v>659</v>
      </c>
      <c r="I7" s="562" t="s">
        <v>579</v>
      </c>
      <c r="J7" s="561" t="s">
        <v>28</v>
      </c>
      <c r="K7" s="233"/>
      <c r="L7" s="561" t="s">
        <v>659</v>
      </c>
      <c r="M7" s="341" t="s">
        <v>579</v>
      </c>
      <c r="N7" s="341" t="s">
        <v>29</v>
      </c>
      <c r="O7" s="345"/>
      <c r="P7" s="561" t="s">
        <v>659</v>
      </c>
      <c r="Q7" s="562" t="s">
        <v>579</v>
      </c>
      <c r="R7" s="562" t="s">
        <v>29</v>
      </c>
      <c r="S7" s="339"/>
      <c r="T7" s="561" t="s">
        <v>659</v>
      </c>
      <c r="U7" s="562" t="s">
        <v>579</v>
      </c>
      <c r="V7" s="329"/>
      <c r="W7" s="561" t="s">
        <v>659</v>
      </c>
      <c r="X7" s="562" t="s">
        <v>579</v>
      </c>
      <c r="Y7" s="4"/>
    </row>
    <row r="8" spans="1:25" s="336" customFormat="1" x14ac:dyDescent="0.25">
      <c r="A8" s="4"/>
      <c r="B8" s="167"/>
      <c r="C8" s="404"/>
      <c r="D8" s="335"/>
      <c r="E8" s="329"/>
      <c r="F8" s="335"/>
      <c r="G8" s="343"/>
      <c r="H8" s="338"/>
      <c r="I8" s="339"/>
      <c r="J8" s="233"/>
      <c r="K8" s="233"/>
      <c r="L8" s="329"/>
      <c r="M8" s="329"/>
      <c r="N8" s="329"/>
      <c r="O8" s="346"/>
      <c r="P8" s="339"/>
      <c r="Q8" s="339"/>
      <c r="R8" s="339"/>
      <c r="S8" s="339"/>
      <c r="T8" s="329"/>
      <c r="U8" s="329"/>
      <c r="V8" s="329"/>
      <c r="W8" s="329"/>
      <c r="X8" s="329"/>
      <c r="Y8" s="4"/>
    </row>
    <row r="9" spans="1:25" x14ac:dyDescent="0.25">
      <c r="A9" s="4"/>
      <c r="B9" s="167" t="s">
        <v>15</v>
      </c>
      <c r="C9" s="404"/>
      <c r="D9" s="675">
        <v>24839.772000000001</v>
      </c>
      <c r="E9" s="675">
        <v>21760.32015</v>
      </c>
      <c r="F9" s="677">
        <f>(E9/'Ventas por mercados'!D15)*100</f>
        <v>4.9405726976166742</v>
      </c>
      <c r="G9" s="159"/>
      <c r="H9" s="675">
        <v>23953.90943</v>
      </c>
      <c r="I9" s="675">
        <v>21746.108690000001</v>
      </c>
      <c r="J9" s="677">
        <f>(I9/'Ventas por mercados'!F15)*100</f>
        <v>5.589004452734688</v>
      </c>
      <c r="K9" s="159"/>
      <c r="L9" s="675">
        <v>30045</v>
      </c>
      <c r="M9" s="675">
        <v>26562</v>
      </c>
      <c r="N9" s="677"/>
      <c r="O9" s="347"/>
      <c r="P9" s="675">
        <v>20564</v>
      </c>
      <c r="Q9" s="675">
        <v>18602</v>
      </c>
      <c r="R9" s="677"/>
      <c r="S9" s="333"/>
      <c r="T9" s="675">
        <f t="shared" ref="T9:U11" si="0">D9-L9</f>
        <v>-5205.2279999999992</v>
      </c>
      <c r="U9" s="675">
        <f t="shared" si="0"/>
        <v>-4801.6798500000004</v>
      </c>
      <c r="V9" s="171"/>
      <c r="W9" s="675">
        <f>I9-Q9</f>
        <v>3144.1086900000009</v>
      </c>
      <c r="X9" s="675">
        <f t="shared" ref="X9:X11" si="1">H9-P9</f>
        <v>3389.9094299999997</v>
      </c>
      <c r="Y9" s="168"/>
    </row>
    <row r="10" spans="1:25" x14ac:dyDescent="0.25">
      <c r="A10" s="4"/>
      <c r="B10" s="167" t="s">
        <v>11</v>
      </c>
      <c r="C10" s="404"/>
      <c r="D10" s="675">
        <v>52969.110359999999</v>
      </c>
      <c r="E10" s="675">
        <v>46778.884850000002</v>
      </c>
      <c r="F10" s="677">
        <f>(E10/'Ventas por mercados'!I15)*100</f>
        <v>24.450062472276915</v>
      </c>
      <c r="G10" s="344"/>
      <c r="H10" s="675">
        <v>36532.178240000001</v>
      </c>
      <c r="I10" s="675">
        <v>33052.958870000002</v>
      </c>
      <c r="J10" s="677">
        <f>(I10/'Ventas por mercados'!K15)*100</f>
        <v>20.582233441136669</v>
      </c>
      <c r="K10" s="159"/>
      <c r="L10" s="675">
        <v>0</v>
      </c>
      <c r="M10" s="675">
        <v>0</v>
      </c>
      <c r="N10" s="677"/>
      <c r="O10" s="347"/>
      <c r="P10" s="675">
        <v>0</v>
      </c>
      <c r="Q10" s="675">
        <v>0</v>
      </c>
      <c r="R10" s="677"/>
      <c r="S10" s="333"/>
      <c r="T10" s="675">
        <f t="shared" si="0"/>
        <v>52969.110359999999</v>
      </c>
      <c r="U10" s="675">
        <f t="shared" si="0"/>
        <v>46778.884850000002</v>
      </c>
      <c r="V10" s="171"/>
      <c r="W10" s="675">
        <f t="shared" ref="W10:W11" si="2">I10-Q10</f>
        <v>33052.958870000002</v>
      </c>
      <c r="X10" s="675">
        <f t="shared" si="1"/>
        <v>36532.178240000001</v>
      </c>
      <c r="Y10" s="168"/>
    </row>
    <row r="11" spans="1:25" x14ac:dyDescent="0.25">
      <c r="A11" s="4"/>
      <c r="B11" s="167" t="s">
        <v>10</v>
      </c>
      <c r="C11" s="404"/>
      <c r="D11" s="675">
        <v>28055.7624</v>
      </c>
      <c r="E11" s="675">
        <v>24847.127570000001</v>
      </c>
      <c r="F11" s="677">
        <f>(E11/'Ventas por mercados'!N15)*100</f>
        <v>45.839441896032142</v>
      </c>
      <c r="G11" s="344"/>
      <c r="H11" s="675">
        <v>25496.011340000001</v>
      </c>
      <c r="I11" s="675">
        <v>23054.606460000003</v>
      </c>
      <c r="J11" s="677">
        <f>(I11/'Ventas por mercados'!P15)*100</f>
        <v>43.609681983545471</v>
      </c>
      <c r="K11" s="159"/>
      <c r="L11" s="675">
        <v>12499</v>
      </c>
      <c r="M11" s="675">
        <v>11157</v>
      </c>
      <c r="N11" s="677"/>
      <c r="O11" s="347"/>
      <c r="P11" s="675">
        <v>13012</v>
      </c>
      <c r="Q11" s="675">
        <v>11738</v>
      </c>
      <c r="R11" s="677"/>
      <c r="S11" s="337"/>
      <c r="T11" s="675">
        <f t="shared" si="0"/>
        <v>15556.7624</v>
      </c>
      <c r="U11" s="675">
        <f t="shared" si="0"/>
        <v>13690.127570000001</v>
      </c>
      <c r="V11" s="171"/>
      <c r="W11" s="675">
        <f t="shared" si="2"/>
        <v>11316.606460000003</v>
      </c>
      <c r="X11" s="675">
        <f t="shared" si="1"/>
        <v>12484.011340000001</v>
      </c>
      <c r="Y11" s="168"/>
    </row>
    <row r="12" spans="1:25" s="336" customFormat="1" x14ac:dyDescent="0.25">
      <c r="A12" s="4"/>
      <c r="B12" s="167"/>
      <c r="C12" s="404"/>
      <c r="D12" s="675"/>
      <c r="E12" s="675"/>
      <c r="F12" s="678"/>
      <c r="G12" s="344"/>
      <c r="H12" s="675"/>
      <c r="I12" s="675"/>
      <c r="J12" s="678"/>
      <c r="K12" s="159"/>
      <c r="L12" s="675"/>
      <c r="M12" s="675"/>
      <c r="N12" s="678"/>
      <c r="O12" s="347"/>
      <c r="P12" s="675"/>
      <c r="Q12" s="675"/>
      <c r="R12" s="678"/>
      <c r="S12" s="337"/>
      <c r="T12" s="675"/>
      <c r="U12" s="675"/>
      <c r="V12" s="168"/>
      <c r="W12" s="675"/>
      <c r="X12" s="675"/>
      <c r="Y12" s="168"/>
    </row>
    <row r="13" spans="1:25" ht="18.75" x14ac:dyDescent="0.3">
      <c r="A13" s="4"/>
      <c r="B13" s="572" t="s">
        <v>665</v>
      </c>
      <c r="C13" s="610"/>
      <c r="D13" s="676">
        <f>D9+D10+D11</f>
        <v>105864.64476</v>
      </c>
      <c r="E13" s="676">
        <f>E9+E10+E11</f>
        <v>93386.332569999999</v>
      </c>
      <c r="F13" s="679">
        <f>(E13/Resultados!D7)*100</f>
        <v>13.613763367202647</v>
      </c>
      <c r="G13" s="605"/>
      <c r="H13" s="676">
        <f>H9+H10+H11</f>
        <v>85982.099010000005</v>
      </c>
      <c r="I13" s="676">
        <f>I9+I10+I11</f>
        <v>77853.674020000006</v>
      </c>
      <c r="J13" s="679">
        <f>(I13/Resultados!F7)*100</f>
        <v>12.920849469664406</v>
      </c>
      <c r="K13" s="604"/>
      <c r="L13" s="676">
        <f>L9+L10+L11</f>
        <v>42544</v>
      </c>
      <c r="M13" s="676">
        <f>M9+M10+M11</f>
        <v>37719</v>
      </c>
      <c r="N13" s="679">
        <f>(M13/Compras!D6)*100</f>
        <v>8.7521173167505868</v>
      </c>
      <c r="O13" s="605"/>
      <c r="P13" s="676">
        <f>P9+P10+P11</f>
        <v>33576</v>
      </c>
      <c r="Q13" s="676">
        <f>Q9+Q10+Q11</f>
        <v>30340</v>
      </c>
      <c r="R13" s="679">
        <f>(Q13/Compras!F6)*100</f>
        <v>8.1544014685448118</v>
      </c>
      <c r="S13" s="604"/>
      <c r="T13" s="676">
        <f>T9+T10+T11</f>
        <v>63320.644760000003</v>
      </c>
      <c r="U13" s="676">
        <f>U9+U10+U11</f>
        <v>55667.332569999999</v>
      </c>
      <c r="V13" s="603"/>
      <c r="W13" s="676">
        <f>W9+W10+W11</f>
        <v>47513.674020000006</v>
      </c>
      <c r="X13" s="676">
        <f>X9+X10+X11</f>
        <v>52406.099010000005</v>
      </c>
      <c r="Y13" s="168"/>
    </row>
    <row r="15" spans="1:25" s="4" customFormat="1" x14ac:dyDescent="0.25">
      <c r="C15" s="374"/>
      <c r="D15" s="364"/>
      <c r="E15" s="364"/>
      <c r="F15" s="364"/>
      <c r="G15" s="364"/>
      <c r="H15" s="364"/>
      <c r="I15" s="364"/>
      <c r="J15" s="364"/>
      <c r="K15" s="364"/>
      <c r="L15" s="364"/>
      <c r="M15" s="364"/>
      <c r="O15" s="8"/>
    </row>
    <row r="16" spans="1:25" s="4" customFormat="1" x14ac:dyDescent="0.25">
      <c r="B16" s="348"/>
      <c r="C16" s="571"/>
      <c r="D16" s="5"/>
      <c r="E16" s="5"/>
      <c r="F16" s="5"/>
      <c r="G16" s="338"/>
      <c r="H16" s="365"/>
      <c r="I16" s="365"/>
      <c r="J16" s="365"/>
      <c r="K16" s="233"/>
      <c r="L16" s="8"/>
      <c r="M16" s="8"/>
      <c r="O16" s="8"/>
      <c r="P16" s="161"/>
    </row>
    <row r="17" spans="2:22" s="4" customFormat="1" ht="16.5" customHeight="1" x14ac:dyDescent="0.25">
      <c r="B17" s="348"/>
      <c r="C17" s="571"/>
      <c r="D17" s="338"/>
      <c r="E17" s="339"/>
      <c r="F17" s="233"/>
      <c r="G17" s="233"/>
      <c r="H17" s="339"/>
      <c r="I17" s="339"/>
      <c r="J17" s="339"/>
      <c r="K17" s="339"/>
      <c r="L17" s="339"/>
      <c r="M17" s="339"/>
      <c r="O17" s="8"/>
      <c r="R17" s="349"/>
      <c r="S17" s="349"/>
      <c r="T17" s="350"/>
    </row>
    <row r="18" spans="2:22" s="4" customFormat="1" x14ac:dyDescent="0.25">
      <c r="B18" s="351"/>
      <c r="C18" s="611"/>
      <c r="D18" s="169"/>
      <c r="E18" s="169"/>
      <c r="F18" s="159"/>
      <c r="G18" s="159"/>
      <c r="H18" s="169"/>
      <c r="I18" s="169"/>
      <c r="J18" s="352"/>
      <c r="K18" s="352"/>
      <c r="L18" s="168"/>
      <c r="M18" s="168"/>
      <c r="O18" s="8"/>
      <c r="R18" s="349"/>
      <c r="S18" s="349"/>
      <c r="T18" s="349"/>
      <c r="U18" s="350"/>
      <c r="V18" s="350"/>
    </row>
    <row r="19" spans="2:22" s="4" customFormat="1" x14ac:dyDescent="0.25">
      <c r="B19" s="353"/>
      <c r="C19" s="612"/>
      <c r="D19" s="170"/>
      <c r="E19" s="170"/>
      <c r="F19" s="159"/>
      <c r="G19" s="159"/>
      <c r="H19" s="170"/>
      <c r="I19" s="170"/>
      <c r="J19" s="354"/>
      <c r="K19" s="354"/>
      <c r="L19" s="168"/>
      <c r="M19" s="168"/>
      <c r="O19" s="8"/>
      <c r="R19" s="349"/>
      <c r="S19" s="349"/>
      <c r="T19" s="349"/>
      <c r="U19" s="350"/>
      <c r="V19" s="350"/>
    </row>
    <row r="20" spans="2:22" s="4" customFormat="1" x14ac:dyDescent="0.25">
      <c r="B20" s="355"/>
      <c r="C20" s="613"/>
      <c r="D20" s="171"/>
      <c r="E20" s="171"/>
      <c r="F20" s="159"/>
      <c r="G20" s="159"/>
      <c r="H20" s="171"/>
      <c r="I20" s="171"/>
      <c r="J20" s="333"/>
      <c r="K20" s="333"/>
      <c r="L20" s="168"/>
      <c r="M20" s="168"/>
      <c r="O20" s="8"/>
      <c r="R20" s="349"/>
      <c r="S20" s="349"/>
      <c r="T20" s="349"/>
      <c r="U20" s="350"/>
      <c r="V20" s="350"/>
    </row>
    <row r="21" spans="2:22" s="4" customFormat="1" x14ac:dyDescent="0.25">
      <c r="B21" s="355"/>
      <c r="C21" s="613"/>
      <c r="D21" s="171"/>
      <c r="E21" s="171"/>
      <c r="F21" s="159"/>
      <c r="G21" s="159"/>
      <c r="H21" s="171"/>
      <c r="I21" s="171"/>
      <c r="J21" s="333"/>
      <c r="K21" s="333"/>
      <c r="L21" s="168"/>
      <c r="M21" s="168"/>
      <c r="O21" s="8"/>
      <c r="P21" s="2"/>
      <c r="R21" s="349"/>
      <c r="S21" s="349"/>
      <c r="T21" s="350"/>
    </row>
    <row r="22" spans="2:22" s="4" customFormat="1" x14ac:dyDescent="0.25">
      <c r="B22" s="348"/>
      <c r="C22" s="571"/>
      <c r="D22" s="162"/>
      <c r="E22" s="162"/>
      <c r="F22" s="159"/>
      <c r="G22" s="159"/>
      <c r="H22" s="162"/>
      <c r="I22" s="162"/>
      <c r="J22" s="337"/>
      <c r="K22" s="337"/>
      <c r="L22" s="168"/>
      <c r="M22" s="168"/>
      <c r="O22" s="8"/>
      <c r="P22" s="2"/>
      <c r="R22" s="349"/>
      <c r="S22" s="349"/>
    </row>
    <row r="23" spans="2:22" s="4" customFormat="1" x14ac:dyDescent="0.25">
      <c r="B23" s="356"/>
      <c r="C23" s="614"/>
      <c r="D23" s="234"/>
      <c r="E23" s="234"/>
      <c r="F23" s="6"/>
      <c r="G23" s="6"/>
      <c r="H23" s="234"/>
      <c r="I23" s="234"/>
      <c r="J23" s="6"/>
      <c r="K23" s="6"/>
      <c r="L23" s="163"/>
      <c r="M23" s="163"/>
      <c r="O23" s="8"/>
    </row>
    <row r="24" spans="2:22" s="4" customFormat="1" x14ac:dyDescent="0.25">
      <c r="C24" s="374"/>
      <c r="G24" s="8"/>
      <c r="O24" s="8"/>
    </row>
    <row r="25" spans="2:22" s="4" customFormat="1" x14ac:dyDescent="0.25">
      <c r="C25" s="374"/>
      <c r="G25" s="8"/>
      <c r="O25" s="8"/>
    </row>
    <row r="26" spans="2:22" s="4" customFormat="1" x14ac:dyDescent="0.25">
      <c r="C26" s="374"/>
      <c r="G26" s="8"/>
      <c r="O26" s="8"/>
    </row>
    <row r="27" spans="2:22" s="4" customFormat="1" x14ac:dyDescent="0.25">
      <c r="B27" s="366"/>
      <c r="C27" s="615"/>
      <c r="D27" s="334"/>
      <c r="E27" s="334"/>
      <c r="F27" s="334"/>
      <c r="G27" s="233"/>
      <c r="H27" s="155"/>
      <c r="O27" s="8"/>
    </row>
    <row r="28" spans="2:22" s="4" customFormat="1" x14ac:dyDescent="0.25">
      <c r="B28" s="366"/>
      <c r="C28" s="615"/>
      <c r="D28" s="334"/>
      <c r="E28" s="334"/>
      <c r="F28" s="334"/>
      <c r="G28" s="233"/>
      <c r="H28" s="155"/>
      <c r="O28" s="8"/>
    </row>
    <row r="29" spans="2:22" s="4" customFormat="1" x14ac:dyDescent="0.25">
      <c r="B29" s="157"/>
      <c r="C29" s="371"/>
      <c r="D29" s="164"/>
      <c r="E29" s="165"/>
      <c r="F29" s="157"/>
      <c r="G29" s="357"/>
      <c r="H29" s="164"/>
      <c r="O29" s="8"/>
    </row>
    <row r="30" spans="2:22" s="4" customFormat="1" x14ac:dyDescent="0.25">
      <c r="B30" s="358"/>
      <c r="C30" s="616"/>
      <c r="D30" s="359"/>
      <c r="E30" s="10"/>
      <c r="F30" s="358"/>
      <c r="G30" s="360"/>
      <c r="H30" s="359"/>
      <c r="J30" s="161"/>
      <c r="K30" s="161"/>
      <c r="O30" s="8"/>
    </row>
    <row r="31" spans="2:22" s="4" customFormat="1" x14ac:dyDescent="0.25">
      <c r="B31" s="156"/>
      <c r="C31" s="378"/>
      <c r="D31" s="166"/>
      <c r="E31" s="10"/>
      <c r="F31" s="361"/>
      <c r="G31" s="362"/>
      <c r="H31" s="166"/>
      <c r="O31" s="8"/>
    </row>
    <row r="32" spans="2:22" s="4" customFormat="1" x14ac:dyDescent="0.25">
      <c r="B32" s="157"/>
      <c r="C32" s="371"/>
      <c r="D32" s="164"/>
      <c r="E32" s="165"/>
      <c r="F32" s="157"/>
      <c r="G32" s="357"/>
      <c r="H32" s="164"/>
      <c r="O32" s="8"/>
    </row>
    <row r="33" spans="2:15" s="4" customFormat="1" x14ac:dyDescent="0.25">
      <c r="B33" s="358"/>
      <c r="C33" s="616"/>
      <c r="D33" s="359"/>
      <c r="E33" s="10"/>
      <c r="F33" s="358"/>
      <c r="G33" s="360"/>
      <c r="H33" s="359"/>
      <c r="O33" s="8"/>
    </row>
    <row r="34" spans="2:15" s="4" customFormat="1" x14ac:dyDescent="0.25">
      <c r="B34" s="156"/>
      <c r="C34" s="378"/>
      <c r="D34" s="166"/>
      <c r="E34" s="10"/>
      <c r="F34" s="10"/>
      <c r="G34" s="363"/>
      <c r="H34" s="166"/>
      <c r="O34" s="8"/>
    </row>
    <row r="35" spans="2:15" s="4" customFormat="1" x14ac:dyDescent="0.25">
      <c r="B35" s="157"/>
      <c r="C35" s="371"/>
      <c r="D35" s="164"/>
      <c r="E35" s="165"/>
      <c r="F35" s="157"/>
      <c r="G35" s="357"/>
      <c r="H35" s="164"/>
      <c r="O35" s="8"/>
    </row>
    <row r="36" spans="2:15" s="4" customFormat="1" x14ac:dyDescent="0.25">
      <c r="B36" s="156"/>
      <c r="C36" s="378"/>
      <c r="D36" s="166"/>
      <c r="E36" s="10"/>
      <c r="F36" s="156"/>
      <c r="G36" s="158"/>
      <c r="H36" s="166"/>
      <c r="O36" s="8"/>
    </row>
    <row r="37" spans="2:15" s="4" customFormat="1" x14ac:dyDescent="0.25">
      <c r="C37" s="374"/>
      <c r="G37" s="8"/>
      <c r="O37" s="8"/>
    </row>
    <row r="38" spans="2:15" s="4" customFormat="1" x14ac:dyDescent="0.25">
      <c r="C38" s="374"/>
      <c r="D38" s="334"/>
      <c r="E38" s="155"/>
      <c r="G38" s="8"/>
      <c r="O38" s="8"/>
    </row>
    <row r="39" spans="2:15" s="4" customFormat="1" x14ac:dyDescent="0.25">
      <c r="C39" s="374"/>
      <c r="D39" s="7"/>
      <c r="E39" s="3"/>
      <c r="F39" s="3"/>
      <c r="G39" s="9"/>
      <c r="O39" s="8"/>
    </row>
    <row r="40" spans="2:15" s="4" customFormat="1" x14ac:dyDescent="0.25">
      <c r="C40" s="374"/>
      <c r="D40" s="7"/>
      <c r="E40" s="3"/>
      <c r="F40" s="3"/>
      <c r="G40" s="9"/>
      <c r="O40" s="8"/>
    </row>
  </sheetData>
  <mergeCells count="11">
    <mergeCell ref="T4:X4"/>
    <mergeCell ref="W6:X6"/>
    <mergeCell ref="B2:X2"/>
    <mergeCell ref="H6:J6"/>
    <mergeCell ref="P6:R6"/>
    <mergeCell ref="D4:J4"/>
    <mergeCell ref="L4:R4"/>
    <mergeCell ref="D5:M5"/>
    <mergeCell ref="D6:F6"/>
    <mergeCell ref="L6:N6"/>
    <mergeCell ref="T6:U6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38DD5"/>
  </sheetPr>
  <dimension ref="B2:T44"/>
  <sheetViews>
    <sheetView showGridLines="0" workbookViewId="0">
      <selection activeCell="P28" sqref="P28"/>
    </sheetView>
  </sheetViews>
  <sheetFormatPr baseColWidth="10" defaultColWidth="11.25" defaultRowHeight="15.75" x14ac:dyDescent="0.25"/>
  <cols>
    <col min="1" max="1" width="5.75" style="331" customWidth="1"/>
    <col min="2" max="2" width="36.5" style="331" customWidth="1"/>
    <col min="3" max="3" width="1" style="331" customWidth="1"/>
    <col min="4" max="4" width="11.875" style="331" bestFit="1" customWidth="1"/>
    <col min="5" max="5" width="1" style="331" customWidth="1"/>
    <col min="6" max="6" width="11.25" style="331" customWidth="1"/>
    <col min="7" max="7" width="1" style="331" customWidth="1"/>
    <col min="8" max="8" width="11.375" style="331" bestFit="1" customWidth="1"/>
    <col min="9" max="9" width="1" style="331" customWidth="1"/>
    <col min="10" max="10" width="11.375" style="331" bestFit="1" customWidth="1"/>
    <col min="11" max="13" width="11.25" style="331"/>
    <col min="14" max="14" width="9.75" style="331" customWidth="1"/>
    <col min="15" max="16" width="7.625" style="331" customWidth="1"/>
    <col min="17" max="17" width="6.75" style="331" customWidth="1"/>
    <col min="18" max="18" width="7.375" style="331" customWidth="1"/>
    <col min="19" max="19" width="7.5" style="331" customWidth="1"/>
    <col min="20" max="20" width="7.125" style="331" customWidth="1"/>
    <col min="21" max="21" width="6.125" style="331" customWidth="1"/>
    <col min="22" max="16384" width="11.25" style="331"/>
  </cols>
  <sheetData>
    <row r="2" spans="2:19" ht="18.75" x14ac:dyDescent="0.25">
      <c r="B2" s="731" t="s">
        <v>580</v>
      </c>
      <c r="C2" s="731"/>
      <c r="D2" s="731"/>
      <c r="E2" s="731"/>
      <c r="F2" s="731"/>
      <c r="G2" s="731"/>
      <c r="H2" s="731"/>
      <c r="I2" s="731"/>
      <c r="J2" s="731"/>
    </row>
    <row r="4" spans="2:19" ht="30" customHeight="1" x14ac:dyDescent="0.25">
      <c r="B4" s="371" t="s">
        <v>219</v>
      </c>
      <c r="C4" s="371"/>
      <c r="D4" s="341" t="s">
        <v>275</v>
      </c>
      <c r="E4" s="372"/>
      <c r="F4" s="341" t="s">
        <v>13</v>
      </c>
      <c r="G4" s="372"/>
      <c r="H4" s="341" t="s">
        <v>582</v>
      </c>
      <c r="I4" s="372"/>
      <c r="J4" s="341" t="s">
        <v>326</v>
      </c>
      <c r="K4" s="373"/>
      <c r="L4" s="373"/>
      <c r="M4" s="373"/>
      <c r="N4" s="374"/>
    </row>
    <row r="5" spans="2:19" x14ac:dyDescent="0.25">
      <c r="B5" s="371"/>
      <c r="C5" s="371"/>
      <c r="D5" s="371"/>
      <c r="E5" s="371"/>
      <c r="F5" s="371"/>
      <c r="G5" s="371"/>
      <c r="H5" s="373"/>
      <c r="I5" s="373"/>
      <c r="J5" s="375"/>
      <c r="K5" s="373"/>
      <c r="L5" s="373"/>
      <c r="M5" s="373"/>
      <c r="N5" s="374"/>
    </row>
    <row r="6" spans="2:19" x14ac:dyDescent="0.25">
      <c r="B6" s="330" t="s">
        <v>581</v>
      </c>
      <c r="C6" s="376"/>
      <c r="D6" s="637">
        <f>D7+D8</f>
        <v>430970</v>
      </c>
      <c r="E6" s="638"/>
      <c r="F6" s="637">
        <f>F7+F8</f>
        <v>372069</v>
      </c>
      <c r="G6" s="638"/>
      <c r="H6" s="637">
        <f>D6-F6</f>
        <v>58901</v>
      </c>
      <c r="I6" s="638"/>
      <c r="J6" s="683">
        <f>((D6-F6)/F6)*100</f>
        <v>15.830665817361833</v>
      </c>
      <c r="K6" s="373"/>
      <c r="L6" s="373"/>
      <c r="M6" s="377"/>
      <c r="N6" s="374"/>
    </row>
    <row r="7" spans="2:19" x14ac:dyDescent="0.25">
      <c r="B7" s="625" t="s">
        <v>99</v>
      </c>
      <c r="C7" s="378"/>
      <c r="D7" s="639">
        <f>-(Resultados!D13)</f>
        <v>316581</v>
      </c>
      <c r="E7" s="639"/>
      <c r="F7" s="639">
        <f>-(Resultados!F13)</f>
        <v>270215</v>
      </c>
      <c r="G7" s="639"/>
      <c r="H7" s="640">
        <f t="shared" ref="H7:H12" si="0">+D7-F7</f>
        <v>46366</v>
      </c>
      <c r="I7" s="640"/>
      <c r="J7" s="684">
        <f>((D7-F7)/F7)*100</f>
        <v>17.158929000980699</v>
      </c>
      <c r="K7" s="381"/>
      <c r="L7" s="381"/>
      <c r="M7" s="382"/>
      <c r="N7" s="374"/>
    </row>
    <row r="8" spans="2:19" x14ac:dyDescent="0.25">
      <c r="B8" s="625" t="s">
        <v>100</v>
      </c>
      <c r="C8" s="378"/>
      <c r="D8" s="639">
        <f>SUM(D9:D12)</f>
        <v>114389</v>
      </c>
      <c r="E8" s="639"/>
      <c r="F8" s="639">
        <f>SUM(F9:F12)</f>
        <v>101854</v>
      </c>
      <c r="G8" s="639"/>
      <c r="H8" s="640">
        <f t="shared" si="0"/>
        <v>12535</v>
      </c>
      <c r="I8" s="640"/>
      <c r="J8" s="684">
        <f>((D8-F8)/F8)*100</f>
        <v>12.306831346829776</v>
      </c>
      <c r="K8" s="384"/>
      <c r="L8" s="381"/>
      <c r="M8" s="382"/>
      <c r="N8" s="374"/>
      <c r="O8" s="374"/>
      <c r="P8" s="385"/>
      <c r="Q8" s="385"/>
      <c r="R8" s="385"/>
    </row>
    <row r="9" spans="2:19" hidden="1" x14ac:dyDescent="0.25">
      <c r="B9" s="386" t="s">
        <v>97</v>
      </c>
      <c r="C9" s="386"/>
      <c r="D9" s="639">
        <v>90849</v>
      </c>
      <c r="E9" s="639"/>
      <c r="F9" s="639">
        <v>77297</v>
      </c>
      <c r="G9" s="639"/>
      <c r="H9" s="640">
        <f t="shared" si="0"/>
        <v>13552</v>
      </c>
      <c r="I9" s="640"/>
      <c r="J9" s="685">
        <f t="shared" ref="J9:J12" si="1">(D9-F9)/F9</f>
        <v>0.17532375124519708</v>
      </c>
      <c r="K9" s="384"/>
      <c r="L9" s="381"/>
      <c r="M9" s="382"/>
      <c r="N9" s="374"/>
      <c r="O9" s="385"/>
      <c r="P9" s="385"/>
      <c r="Q9" s="385"/>
      <c r="R9" s="385"/>
    </row>
    <row r="10" spans="2:19" hidden="1" x14ac:dyDescent="0.25">
      <c r="B10" s="386" t="s">
        <v>213</v>
      </c>
      <c r="C10" s="386"/>
      <c r="D10" s="639">
        <v>21069</v>
      </c>
      <c r="E10" s="639"/>
      <c r="F10" s="639">
        <v>22258</v>
      </c>
      <c r="G10" s="639"/>
      <c r="H10" s="640">
        <f t="shared" si="0"/>
        <v>-1189</v>
      </c>
      <c r="I10" s="640"/>
      <c r="J10" s="685">
        <f t="shared" si="1"/>
        <v>-5.3418995417378018E-2</v>
      </c>
      <c r="K10" s="384"/>
      <c r="L10" s="381"/>
      <c r="M10" s="382"/>
      <c r="N10" s="374"/>
      <c r="O10" s="374"/>
      <c r="P10" s="385"/>
      <c r="Q10" s="385"/>
      <c r="R10" s="385"/>
    </row>
    <row r="11" spans="2:19" hidden="1" x14ac:dyDescent="0.25">
      <c r="B11" s="386" t="s">
        <v>214</v>
      </c>
      <c r="C11" s="386"/>
      <c r="D11" s="639">
        <v>2459</v>
      </c>
      <c r="E11" s="639"/>
      <c r="F11" s="639">
        <v>2284</v>
      </c>
      <c r="G11" s="639"/>
      <c r="H11" s="640">
        <f t="shared" si="0"/>
        <v>175</v>
      </c>
      <c r="I11" s="640"/>
      <c r="J11" s="685">
        <f t="shared" si="1"/>
        <v>7.6619964973730303E-2</v>
      </c>
      <c r="K11" s="384"/>
      <c r="L11" s="381"/>
      <c r="M11" s="382"/>
      <c r="N11" s="374"/>
      <c r="O11" s="374"/>
      <c r="P11" s="385"/>
      <c r="Q11" s="385"/>
      <c r="R11" s="385"/>
    </row>
    <row r="12" spans="2:19" hidden="1" x14ac:dyDescent="0.25">
      <c r="B12" s="387" t="s">
        <v>25</v>
      </c>
      <c r="C12" s="387"/>
      <c r="D12" s="639">
        <v>12</v>
      </c>
      <c r="E12" s="639"/>
      <c r="F12" s="639">
        <v>15</v>
      </c>
      <c r="G12" s="639"/>
      <c r="H12" s="640">
        <f t="shared" si="0"/>
        <v>-3</v>
      </c>
      <c r="I12" s="640"/>
      <c r="J12" s="685">
        <f t="shared" si="1"/>
        <v>-0.2</v>
      </c>
      <c r="K12" s="374"/>
      <c r="L12" s="381"/>
      <c r="M12" s="382"/>
      <c r="N12" s="374"/>
      <c r="O12" s="374"/>
      <c r="P12" s="385"/>
      <c r="Q12" s="385"/>
      <c r="R12" s="385"/>
    </row>
    <row r="13" spans="2:19" x14ac:dyDescent="0.25">
      <c r="B13" s="368"/>
      <c r="C13" s="368"/>
      <c r="D13" s="641"/>
      <c r="E13" s="641"/>
      <c r="F13" s="641"/>
      <c r="G13" s="641"/>
      <c r="H13" s="642"/>
      <c r="I13" s="642"/>
      <c r="J13" s="686"/>
      <c r="K13" s="388"/>
      <c r="L13" s="374"/>
      <c r="M13" s="382"/>
      <c r="N13" s="374"/>
      <c r="O13" s="374"/>
      <c r="P13" s="385"/>
      <c r="Q13" s="385"/>
      <c r="R13" s="385"/>
    </row>
    <row r="14" spans="2:19" x14ac:dyDescent="0.25">
      <c r="B14" s="370" t="s">
        <v>26</v>
      </c>
      <c r="C14" s="371"/>
      <c r="D14" s="643">
        <f>Resultados!D7</f>
        <v>685970</v>
      </c>
      <c r="E14" s="644"/>
      <c r="F14" s="643">
        <f>Resultados!F7</f>
        <v>602543</v>
      </c>
      <c r="G14" s="644"/>
      <c r="H14" s="637">
        <f>D14-F14</f>
        <v>83427</v>
      </c>
      <c r="I14" s="645"/>
      <c r="J14" s="683">
        <f>((D14-F14)/F14)*100</f>
        <v>13.845816813073922</v>
      </c>
      <c r="K14" s="374"/>
      <c r="L14" s="374"/>
      <c r="M14" s="374"/>
      <c r="N14" s="382"/>
      <c r="O14" s="374"/>
      <c r="P14" s="374"/>
      <c r="Q14" s="385"/>
      <c r="R14" s="385"/>
      <c r="S14" s="385"/>
    </row>
    <row r="15" spans="2:19" x14ac:dyDescent="0.25">
      <c r="B15" s="378"/>
      <c r="C15" s="378"/>
      <c r="D15" s="379"/>
      <c r="E15" s="379"/>
      <c r="F15" s="379"/>
      <c r="G15" s="379"/>
      <c r="H15" s="680"/>
      <c r="I15" s="374"/>
      <c r="J15" s="687"/>
      <c r="K15" s="374"/>
      <c r="L15" s="374"/>
      <c r="M15" s="374"/>
      <c r="N15" s="382"/>
      <c r="O15" s="374"/>
      <c r="P15" s="374"/>
      <c r="Q15" s="385"/>
      <c r="R15" s="385"/>
      <c r="S15" s="385"/>
    </row>
    <row r="16" spans="2:19" ht="18.75" x14ac:dyDescent="0.25">
      <c r="B16" s="617" t="s">
        <v>215</v>
      </c>
      <c r="C16" s="619"/>
      <c r="D16" s="618">
        <f>D6/D14</f>
        <v>0.62826362668921376</v>
      </c>
      <c r="E16" s="620"/>
      <c r="F16" s="618">
        <f>F6/F14</f>
        <v>0.61749783832855087</v>
      </c>
      <c r="G16" s="620"/>
      <c r="H16" s="681"/>
      <c r="I16" s="620"/>
      <c r="J16" s="688"/>
      <c r="K16" s="391"/>
      <c r="L16" s="391"/>
      <c r="M16" s="391"/>
      <c r="N16" s="377"/>
      <c r="O16" s="374"/>
      <c r="P16" s="374"/>
      <c r="Q16" s="385"/>
      <c r="R16" s="385"/>
      <c r="S16" s="385"/>
    </row>
    <row r="17" spans="2:20" x14ac:dyDescent="0.25">
      <c r="B17" s="371"/>
      <c r="C17" s="371"/>
      <c r="D17" s="377"/>
      <c r="E17" s="377"/>
      <c r="F17" s="392"/>
      <c r="G17" s="392"/>
      <c r="H17" s="377"/>
      <c r="I17" s="377"/>
      <c r="J17" s="377"/>
      <c r="K17" s="377"/>
      <c r="L17" s="377"/>
      <c r="M17" s="374"/>
      <c r="N17" s="374"/>
      <c r="O17" s="374"/>
      <c r="P17" s="385"/>
      <c r="Q17" s="385"/>
    </row>
    <row r="18" spans="2:20" x14ac:dyDescent="0.25">
      <c r="B18" s="374"/>
      <c r="C18" s="374"/>
      <c r="D18" s="376"/>
      <c r="E18" s="376"/>
      <c r="F18" s="393"/>
      <c r="G18" s="393"/>
      <c r="H18" s="394"/>
      <c r="I18" s="394"/>
      <c r="J18" s="395"/>
      <c r="K18" s="393"/>
      <c r="L18" s="373"/>
      <c r="O18" s="385"/>
      <c r="P18" s="385"/>
      <c r="Q18" s="385"/>
    </row>
    <row r="19" spans="2:20" x14ac:dyDescent="0.25">
      <c r="B19" s="374"/>
      <c r="C19" s="374"/>
      <c r="D19" s="396"/>
      <c r="E19" s="396"/>
      <c r="F19" s="396"/>
      <c r="G19" s="396"/>
      <c r="H19" s="382"/>
      <c r="I19" s="382"/>
      <c r="J19" s="397"/>
      <c r="K19" s="385"/>
      <c r="L19" s="385"/>
      <c r="O19" s="385"/>
      <c r="P19" s="385"/>
      <c r="Q19" s="385"/>
    </row>
    <row r="20" spans="2:20" x14ac:dyDescent="0.25">
      <c r="B20" s="378"/>
      <c r="C20" s="378"/>
      <c r="D20" s="390"/>
      <c r="E20" s="390"/>
      <c r="F20" s="378"/>
      <c r="G20" s="378"/>
      <c r="H20" s="390"/>
      <c r="I20" s="390"/>
      <c r="J20" s="398"/>
      <c r="K20" s="374"/>
      <c r="L20" s="374"/>
      <c r="M20" s="399"/>
      <c r="N20" s="399"/>
      <c r="O20" s="385"/>
      <c r="P20" s="385"/>
      <c r="Q20" s="385"/>
    </row>
    <row r="21" spans="2:20" x14ac:dyDescent="0.25">
      <c r="B21" s="378"/>
      <c r="C21" s="378"/>
      <c r="D21" s="390"/>
      <c r="E21" s="390"/>
      <c r="F21" s="378"/>
      <c r="G21" s="378"/>
      <c r="H21" s="390"/>
      <c r="I21" s="390"/>
      <c r="J21" s="378"/>
      <c r="K21" s="400"/>
      <c r="L21" s="400"/>
      <c r="M21" s="374"/>
      <c r="N21" s="374"/>
      <c r="O21" s="385"/>
      <c r="P21" s="385"/>
      <c r="Q21" s="385"/>
    </row>
    <row r="22" spans="2:20" x14ac:dyDescent="0.25">
      <c r="B22" s="371"/>
      <c r="C22" s="371"/>
      <c r="D22" s="371"/>
      <c r="E22" s="371"/>
      <c r="F22" s="371"/>
      <c r="G22" s="371"/>
      <c r="H22" s="401"/>
      <c r="I22" s="401"/>
      <c r="J22" s="401"/>
      <c r="K22" s="401"/>
      <c r="L22" s="401"/>
      <c r="M22" s="401"/>
      <c r="N22" s="401"/>
      <c r="O22" s="385"/>
      <c r="P22" s="385"/>
      <c r="Q22" s="402"/>
    </row>
    <row r="23" spans="2:20" x14ac:dyDescent="0.25">
      <c r="B23" s="368"/>
      <c r="C23" s="368"/>
      <c r="D23" s="369"/>
      <c r="E23" s="369"/>
      <c r="F23" s="369"/>
      <c r="G23" s="369"/>
      <c r="H23" s="368"/>
      <c r="I23" s="368"/>
      <c r="J23" s="368"/>
      <c r="K23" s="368"/>
      <c r="L23" s="368"/>
      <c r="M23" s="368"/>
      <c r="N23" s="368"/>
      <c r="S23" s="403"/>
      <c r="T23" s="403"/>
    </row>
    <row r="24" spans="2:20" x14ac:dyDescent="0.25">
      <c r="B24" s="404"/>
      <c r="C24" s="404"/>
      <c r="D24" s="367"/>
      <c r="E24" s="367"/>
      <c r="F24" s="395"/>
      <c r="G24" s="395"/>
      <c r="H24" s="395"/>
      <c r="I24" s="395"/>
      <c r="J24" s="395"/>
      <c r="K24" s="394"/>
      <c r="L24" s="395"/>
      <c r="M24" s="368"/>
      <c r="N24" s="368"/>
    </row>
    <row r="25" spans="2:20" x14ac:dyDescent="0.25">
      <c r="B25" s="404"/>
      <c r="C25" s="404"/>
      <c r="D25" s="404"/>
      <c r="E25" s="404"/>
      <c r="F25" s="388"/>
      <c r="G25" s="388"/>
      <c r="H25" s="388"/>
      <c r="I25" s="388"/>
      <c r="J25" s="388"/>
      <c r="K25" s="382"/>
      <c r="L25" s="405"/>
      <c r="M25" s="368"/>
      <c r="N25" s="368"/>
    </row>
    <row r="26" spans="2:20" x14ac:dyDescent="0.25">
      <c r="B26" s="404"/>
      <c r="C26" s="404"/>
      <c r="D26" s="404"/>
      <c r="E26" s="404"/>
      <c r="F26" s="405"/>
      <c r="G26" s="405"/>
      <c r="H26" s="388"/>
      <c r="I26" s="388"/>
      <c r="J26" s="388"/>
      <c r="K26" s="382"/>
      <c r="L26" s="405"/>
      <c r="M26" s="368"/>
      <c r="N26" s="368"/>
    </row>
    <row r="27" spans="2:20" x14ac:dyDescent="0.25">
      <c r="B27" s="404"/>
      <c r="C27" s="404"/>
      <c r="D27" s="406"/>
      <c r="E27" s="406"/>
      <c r="F27" s="388"/>
      <c r="G27" s="388"/>
      <c r="H27" s="388"/>
      <c r="I27" s="388"/>
      <c r="J27" s="405"/>
      <c r="K27" s="382"/>
      <c r="L27" s="405"/>
      <c r="M27" s="368"/>
      <c r="N27" s="368"/>
    </row>
    <row r="28" spans="2:20" x14ac:dyDescent="0.25">
      <c r="B28" s="404"/>
      <c r="C28" s="404"/>
      <c r="D28" s="404"/>
      <c r="E28" s="404"/>
      <c r="F28" s="388"/>
      <c r="G28" s="388"/>
      <c r="H28" s="388"/>
      <c r="I28" s="388"/>
      <c r="J28" s="388"/>
      <c r="K28" s="382"/>
      <c r="L28" s="405"/>
      <c r="M28" s="368"/>
      <c r="N28" s="368"/>
    </row>
    <row r="29" spans="2:20" x14ac:dyDescent="0.25">
      <c r="B29" s="367"/>
      <c r="C29" s="367"/>
      <c r="D29" s="367"/>
      <c r="E29" s="367"/>
      <c r="F29" s="395"/>
      <c r="G29" s="395"/>
      <c r="H29" s="395"/>
      <c r="I29" s="395"/>
      <c r="J29" s="395"/>
      <c r="K29" s="377"/>
      <c r="L29" s="407"/>
      <c r="M29" s="368"/>
      <c r="N29" s="368"/>
    </row>
    <row r="35" spans="2:11" x14ac:dyDescent="0.25">
      <c r="D35" s="408"/>
      <c r="E35" s="408"/>
    </row>
    <row r="37" spans="2:11" x14ac:dyDescent="0.25">
      <c r="B37" s="371"/>
      <c r="C37" s="371"/>
      <c r="D37" s="371"/>
      <c r="E37" s="371"/>
      <c r="F37" s="371"/>
      <c r="G37" s="371"/>
      <c r="H37" s="375"/>
      <c r="I37" s="375"/>
      <c r="J37" s="375"/>
      <c r="K37" s="368"/>
    </row>
    <row r="38" spans="2:11" x14ac:dyDescent="0.25">
      <c r="B38" s="378"/>
      <c r="C38" s="378"/>
      <c r="D38" s="389"/>
      <c r="E38" s="389"/>
      <c r="F38" s="389"/>
      <c r="G38" s="389"/>
      <c r="H38" s="369"/>
      <c r="I38" s="369"/>
      <c r="J38" s="409"/>
      <c r="K38" s="368"/>
    </row>
    <row r="39" spans="2:11" x14ac:dyDescent="0.25">
      <c r="B39" s="378"/>
      <c r="C39" s="378"/>
      <c r="D39" s="410"/>
      <c r="E39" s="410"/>
      <c r="F39" s="410"/>
      <c r="G39" s="410"/>
      <c r="H39" s="369"/>
      <c r="I39" s="369"/>
      <c r="J39" s="409"/>
      <c r="K39" s="368"/>
    </row>
    <row r="40" spans="2:11" x14ac:dyDescent="0.25">
      <c r="B40" s="386"/>
      <c r="C40" s="386"/>
      <c r="D40" s="383"/>
      <c r="E40" s="383"/>
      <c r="F40" s="383"/>
      <c r="G40" s="383"/>
      <c r="H40" s="380"/>
      <c r="I40" s="380"/>
      <c r="J40" s="411"/>
      <c r="K40" s="368"/>
    </row>
    <row r="41" spans="2:11" x14ac:dyDescent="0.25">
      <c r="B41" s="386"/>
      <c r="C41" s="386"/>
      <c r="D41" s="383"/>
      <c r="E41" s="383"/>
      <c r="F41" s="383"/>
      <c r="G41" s="383"/>
      <c r="H41" s="380"/>
      <c r="I41" s="380"/>
      <c r="J41" s="411"/>
      <c r="K41" s="368"/>
    </row>
    <row r="42" spans="2:11" x14ac:dyDescent="0.25">
      <c r="B42" s="386"/>
      <c r="C42" s="386"/>
      <c r="D42" s="383"/>
      <c r="E42" s="383"/>
      <c r="F42" s="383"/>
      <c r="G42" s="383"/>
      <c r="H42" s="380"/>
      <c r="I42" s="380"/>
      <c r="J42" s="411"/>
      <c r="K42" s="368"/>
    </row>
    <row r="43" spans="2:11" x14ac:dyDescent="0.25">
      <c r="B43" s="387"/>
      <c r="C43" s="387"/>
      <c r="D43" s="383"/>
      <c r="E43" s="383"/>
      <c r="F43" s="383"/>
      <c r="G43" s="383"/>
      <c r="H43" s="380"/>
      <c r="I43" s="380"/>
      <c r="J43" s="411"/>
      <c r="K43" s="368"/>
    </row>
    <row r="44" spans="2:11" x14ac:dyDescent="0.25">
      <c r="B44" s="368"/>
      <c r="C44" s="368"/>
      <c r="D44" s="368"/>
      <c r="E44" s="368"/>
      <c r="F44" s="368"/>
      <c r="G44" s="368"/>
      <c r="H44" s="368"/>
      <c r="I44" s="368"/>
      <c r="J44" s="368"/>
      <c r="K44" s="368"/>
    </row>
  </sheetData>
  <mergeCells count="1">
    <mergeCell ref="B2:J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38DD5"/>
    <pageSetUpPr fitToPage="1"/>
  </sheetPr>
  <dimension ref="B1:W53"/>
  <sheetViews>
    <sheetView showGridLines="0" workbookViewId="0">
      <selection activeCell="S8" sqref="S8:S12"/>
    </sheetView>
  </sheetViews>
  <sheetFormatPr baseColWidth="10" defaultColWidth="11" defaultRowHeight="15.75" x14ac:dyDescent="0.25"/>
  <cols>
    <col min="1" max="1" width="5.75" style="385" customWidth="1"/>
    <col min="2" max="2" width="23.625" style="385" customWidth="1"/>
    <col min="3" max="4" width="11.625" style="385" customWidth="1"/>
    <col min="5" max="5" width="0.875" style="385" customWidth="1"/>
    <col min="6" max="7" width="11.625" style="385" customWidth="1"/>
    <col min="8" max="8" width="0.875" style="385" customWidth="1"/>
    <col min="9" max="10" width="11.625" style="385" customWidth="1"/>
    <col min="11" max="11" width="1.125" style="385" customWidth="1"/>
    <col min="12" max="13" width="11.625" style="385" customWidth="1"/>
    <col min="14" max="14" width="0.875" style="385" customWidth="1"/>
    <col min="15" max="16" width="11.625" style="385" customWidth="1"/>
    <col min="17" max="17" width="0.875" style="385" customWidth="1"/>
    <col min="18" max="19" width="11.625" style="385" customWidth="1"/>
    <col min="20" max="20" width="0.625" style="385" customWidth="1"/>
    <col min="21" max="21" width="8.5" style="385" customWidth="1"/>
    <col min="22" max="22" width="8.625" style="385" customWidth="1"/>
    <col min="23" max="23" width="8.5" style="385" customWidth="1"/>
    <col min="24" max="16384" width="11" style="385"/>
  </cols>
  <sheetData>
    <row r="1" spans="2:23" x14ac:dyDescent="0.25"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</row>
    <row r="2" spans="2:23" ht="18.75" x14ac:dyDescent="0.25">
      <c r="B2" s="413"/>
      <c r="C2" s="731" t="s">
        <v>583</v>
      </c>
      <c r="D2" s="731"/>
      <c r="E2" s="731"/>
      <c r="F2" s="731"/>
      <c r="G2" s="731"/>
      <c r="H2" s="731"/>
      <c r="I2" s="731"/>
      <c r="J2" s="731"/>
      <c r="K2" s="731"/>
      <c r="L2" s="731"/>
      <c r="M2" s="731"/>
      <c r="N2" s="731"/>
      <c r="O2" s="731"/>
      <c r="P2" s="731"/>
      <c r="Q2" s="731"/>
      <c r="R2" s="731"/>
      <c r="S2" s="731"/>
    </row>
    <row r="3" spans="2:23" ht="16.5" customHeight="1" x14ac:dyDescent="0.25">
      <c r="B3" s="414"/>
      <c r="C3" s="636"/>
      <c r="D3" s="636"/>
      <c r="E3" s="636"/>
      <c r="F3" s="636"/>
      <c r="G3" s="636"/>
      <c r="H3" s="636"/>
      <c r="I3" s="636"/>
      <c r="J3" s="636"/>
      <c r="K3" s="636"/>
      <c r="L3" s="636"/>
      <c r="M3" s="636"/>
      <c r="N3" s="636"/>
      <c r="O3" s="636"/>
      <c r="P3" s="636"/>
      <c r="Q3" s="636"/>
      <c r="R3" s="636"/>
      <c r="S3" s="636"/>
      <c r="T3" s="636"/>
      <c r="U3" s="636"/>
      <c r="V3" s="636"/>
      <c r="W3" s="636"/>
    </row>
    <row r="4" spans="2:23" ht="15.6" customHeight="1" x14ac:dyDescent="0.25">
      <c r="B4" s="447"/>
      <c r="C4" s="744" t="s">
        <v>275</v>
      </c>
      <c r="D4" s="744"/>
      <c r="E4" s="744"/>
      <c r="F4" s="744"/>
      <c r="G4" s="744"/>
      <c r="H4" s="744"/>
      <c r="I4" s="744"/>
      <c r="J4" s="744"/>
      <c r="K4" s="415"/>
      <c r="L4" s="744" t="s">
        <v>13</v>
      </c>
      <c r="M4" s="744"/>
      <c r="N4" s="744"/>
      <c r="O4" s="744"/>
      <c r="P4" s="744"/>
      <c r="Q4" s="744"/>
      <c r="R4" s="744"/>
      <c r="S4" s="744"/>
      <c r="T4" s="415"/>
      <c r="U4" s="740"/>
      <c r="V4" s="740"/>
      <c r="W4" s="740"/>
    </row>
    <row r="5" spans="2:23" ht="15.6" customHeight="1" x14ac:dyDescent="0.25">
      <c r="B5" s="447"/>
      <c r="C5" s="372"/>
      <c r="D5" s="372"/>
      <c r="E5" s="372"/>
      <c r="F5" s="372"/>
      <c r="G5" s="372"/>
      <c r="H5" s="372"/>
      <c r="I5" s="372"/>
      <c r="J5" s="372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49"/>
      <c r="V5" s="449"/>
      <c r="W5" s="449"/>
    </row>
    <row r="6" spans="2:23" x14ac:dyDescent="0.25">
      <c r="B6" s="447"/>
      <c r="C6" s="341" t="s">
        <v>0</v>
      </c>
      <c r="D6" s="341" t="s">
        <v>584</v>
      </c>
      <c r="E6" s="415"/>
      <c r="F6" s="341" t="s">
        <v>1</v>
      </c>
      <c r="G6" s="341" t="s">
        <v>584</v>
      </c>
      <c r="H6" s="415"/>
      <c r="I6" s="341" t="s">
        <v>2</v>
      </c>
      <c r="J6" s="341" t="s">
        <v>584</v>
      </c>
      <c r="K6" s="448"/>
      <c r="L6" s="341" t="s">
        <v>0</v>
      </c>
      <c r="M6" s="341" t="s">
        <v>584</v>
      </c>
      <c r="N6" s="415"/>
      <c r="O6" s="341" t="s">
        <v>1</v>
      </c>
      <c r="P6" s="341" t="s">
        <v>584</v>
      </c>
      <c r="Q6" s="415"/>
      <c r="R6" s="341" t="s">
        <v>2</v>
      </c>
      <c r="S6" s="341" t="s">
        <v>584</v>
      </c>
      <c r="T6" s="415"/>
      <c r="U6" s="449"/>
      <c r="V6" s="449"/>
      <c r="W6" s="449"/>
    </row>
    <row r="7" spans="2:23" x14ac:dyDescent="0.25">
      <c r="B7" s="447"/>
      <c r="C7" s="447"/>
      <c r="D7" s="447"/>
      <c r="E7" s="447"/>
      <c r="F7" s="447"/>
      <c r="G7" s="447"/>
      <c r="H7" s="447"/>
      <c r="I7" s="447"/>
      <c r="J7" s="447"/>
      <c r="K7" s="447"/>
      <c r="L7" s="447"/>
      <c r="M7" s="447"/>
      <c r="N7" s="447"/>
      <c r="O7" s="447"/>
      <c r="P7" s="447"/>
      <c r="Q7" s="447"/>
      <c r="R7" s="447"/>
      <c r="S7" s="447"/>
      <c r="T7" s="447"/>
      <c r="U7" s="374"/>
      <c r="V7" s="374"/>
      <c r="W7" s="374"/>
    </row>
    <row r="8" spans="2:23" x14ac:dyDescent="0.25">
      <c r="B8" s="447" t="s">
        <v>3</v>
      </c>
      <c r="C8" s="682">
        <f>F8+I8</f>
        <v>584</v>
      </c>
      <c r="D8" s="689">
        <f>C8/$C$12</f>
        <v>0.42565597667638483</v>
      </c>
      <c r="E8" s="451"/>
      <c r="F8" s="682">
        <v>486</v>
      </c>
      <c r="G8" s="689">
        <f>F8/C8</f>
        <v>0.8321917808219178</v>
      </c>
      <c r="H8" s="451"/>
      <c r="I8" s="682">
        <v>98</v>
      </c>
      <c r="J8" s="689">
        <f>I8/C8</f>
        <v>0.1678082191780822</v>
      </c>
      <c r="K8" s="442"/>
      <c r="L8" s="682">
        <v>579</v>
      </c>
      <c r="M8" s="689">
        <f>L8/$L$12</f>
        <v>0.42667649226234339</v>
      </c>
      <c r="N8" s="451"/>
      <c r="O8" s="682">
        <v>483</v>
      </c>
      <c r="P8" s="689">
        <f>O8/L8</f>
        <v>0.83419689119170981</v>
      </c>
      <c r="Q8" s="451"/>
      <c r="R8" s="682">
        <v>96</v>
      </c>
      <c r="S8" s="689">
        <f>R8/L8</f>
        <v>0.16580310880829016</v>
      </c>
      <c r="T8" s="451"/>
      <c r="U8" s="450"/>
      <c r="V8" s="450"/>
      <c r="W8" s="450"/>
    </row>
    <row r="9" spans="2:23" x14ac:dyDescent="0.25">
      <c r="B9" s="447" t="s">
        <v>4</v>
      </c>
      <c r="C9" s="682">
        <f>F9+I9</f>
        <v>205</v>
      </c>
      <c r="D9" s="689">
        <f>C9/$C$12</f>
        <v>0.14941690962099125</v>
      </c>
      <c r="E9" s="451"/>
      <c r="F9" s="682">
        <v>104</v>
      </c>
      <c r="G9" s="689">
        <f>F9/C9</f>
        <v>0.50731707317073171</v>
      </c>
      <c r="H9" s="451"/>
      <c r="I9" s="682">
        <v>101</v>
      </c>
      <c r="J9" s="689">
        <f>I9/C9</f>
        <v>0.49268292682926829</v>
      </c>
      <c r="K9" s="442"/>
      <c r="L9" s="682">
        <v>204</v>
      </c>
      <c r="M9" s="689">
        <f>L9/$L$12</f>
        <v>0.15033161385408991</v>
      </c>
      <c r="N9" s="451"/>
      <c r="O9" s="682">
        <v>107</v>
      </c>
      <c r="P9" s="689">
        <f>O9/L9</f>
        <v>0.52450980392156865</v>
      </c>
      <c r="Q9" s="451"/>
      <c r="R9" s="682">
        <v>97</v>
      </c>
      <c r="S9" s="689">
        <f>R9/L9</f>
        <v>0.47549019607843135</v>
      </c>
      <c r="T9" s="451"/>
      <c r="U9" s="450"/>
      <c r="V9" s="450"/>
      <c r="W9" s="450"/>
    </row>
    <row r="10" spans="2:23" x14ac:dyDescent="0.25">
      <c r="B10" s="447" t="s">
        <v>5</v>
      </c>
      <c r="C10" s="682">
        <f>F10+I10</f>
        <v>583</v>
      </c>
      <c r="D10" s="689">
        <f>C10/$C$12</f>
        <v>0.42492711370262393</v>
      </c>
      <c r="E10" s="451"/>
      <c r="F10" s="682">
        <v>577</v>
      </c>
      <c r="G10" s="689">
        <f>F10/C10</f>
        <v>0.98970840480274447</v>
      </c>
      <c r="H10" s="451"/>
      <c r="I10" s="682">
        <v>6</v>
      </c>
      <c r="J10" s="689">
        <f>I10/C10</f>
        <v>1.0291595197255575E-2</v>
      </c>
      <c r="K10" s="442"/>
      <c r="L10" s="682">
        <v>574</v>
      </c>
      <c r="M10" s="689">
        <f>L10/$L$12</f>
        <v>0.42299189388356667</v>
      </c>
      <c r="N10" s="451"/>
      <c r="O10" s="682">
        <v>568</v>
      </c>
      <c r="P10" s="689">
        <f>O10/L10</f>
        <v>0.98954703832752611</v>
      </c>
      <c r="Q10" s="451"/>
      <c r="R10" s="682">
        <v>6</v>
      </c>
      <c r="S10" s="689">
        <f>R10/L10</f>
        <v>1.0452961672473868E-2</v>
      </c>
      <c r="T10" s="451"/>
      <c r="U10" s="450"/>
      <c r="V10" s="450"/>
      <c r="W10" s="450"/>
    </row>
    <row r="11" spans="2:23" x14ac:dyDescent="0.25">
      <c r="B11" s="447"/>
      <c r="C11" s="691"/>
      <c r="D11" s="689"/>
      <c r="E11" s="451"/>
      <c r="F11" s="691"/>
      <c r="G11" s="689"/>
      <c r="H11" s="451"/>
      <c r="I11" s="691"/>
      <c r="J11" s="689"/>
      <c r="K11" s="442"/>
      <c r="L11" s="691"/>
      <c r="M11" s="689"/>
      <c r="N11" s="451"/>
      <c r="O11" s="691"/>
      <c r="P11" s="689"/>
      <c r="Q11" s="451"/>
      <c r="R11" s="691"/>
      <c r="S11" s="689"/>
      <c r="T11" s="451"/>
      <c r="U11" s="450"/>
      <c r="V11" s="450"/>
      <c r="W11" s="450"/>
    </row>
    <row r="12" spans="2:23" ht="18.75" x14ac:dyDescent="0.3">
      <c r="B12" s="627" t="s">
        <v>0</v>
      </c>
      <c r="C12" s="692">
        <f>C8+C9+C10</f>
        <v>1372</v>
      </c>
      <c r="D12" s="690">
        <f>C12/$C$12</f>
        <v>1</v>
      </c>
      <c r="E12" s="628"/>
      <c r="F12" s="692">
        <f t="shared" ref="F12:R12" si="0">F8+F9+F10</f>
        <v>1167</v>
      </c>
      <c r="G12" s="690">
        <f>F12/C12</f>
        <v>0.8505830903790087</v>
      </c>
      <c r="H12" s="628"/>
      <c r="I12" s="692">
        <f t="shared" si="0"/>
        <v>205</v>
      </c>
      <c r="J12" s="690">
        <f>I12/C12</f>
        <v>0.14941690962099125</v>
      </c>
      <c r="K12" s="629"/>
      <c r="L12" s="692">
        <f t="shared" si="0"/>
        <v>1357</v>
      </c>
      <c r="M12" s="690">
        <f>L12/$L$12</f>
        <v>1</v>
      </c>
      <c r="N12" s="630"/>
      <c r="O12" s="692">
        <f t="shared" si="0"/>
        <v>1158</v>
      </c>
      <c r="P12" s="690">
        <f>O12/L12</f>
        <v>0.85335298452468678</v>
      </c>
      <c r="Q12" s="630"/>
      <c r="R12" s="692">
        <f t="shared" si="0"/>
        <v>199</v>
      </c>
      <c r="S12" s="690">
        <f>R12/L12</f>
        <v>0.1466470154753132</v>
      </c>
      <c r="T12" s="452"/>
      <c r="U12" s="375"/>
      <c r="V12" s="375"/>
      <c r="W12" s="375"/>
    </row>
    <row r="13" spans="2:23" x14ac:dyDescent="0.25">
      <c r="B13" s="413"/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M13" s="422"/>
      <c r="N13" s="422"/>
      <c r="O13" s="422"/>
      <c r="P13" s="422"/>
      <c r="Q13" s="422"/>
      <c r="R13" s="422"/>
      <c r="S13" s="422"/>
      <c r="T13" s="422"/>
      <c r="U13" s="422"/>
      <c r="V13" s="422"/>
      <c r="W13" s="422"/>
    </row>
    <row r="14" spans="2:23" ht="16.5" hidden="1" thickBot="1" x14ac:dyDescent="0.3">
      <c r="B14" s="414"/>
      <c r="C14" s="742" t="s">
        <v>6</v>
      </c>
      <c r="D14" s="742"/>
      <c r="E14" s="742"/>
      <c r="F14" s="742"/>
      <c r="G14" s="742"/>
      <c r="H14" s="742"/>
      <c r="I14" s="742"/>
      <c r="J14" s="742"/>
      <c r="K14" s="742"/>
      <c r="L14" s="742"/>
      <c r="M14" s="742"/>
      <c r="N14" s="742"/>
      <c r="O14" s="742"/>
      <c r="P14" s="742"/>
      <c r="Q14" s="742"/>
      <c r="R14" s="742"/>
      <c r="S14" s="415"/>
      <c r="T14" s="415"/>
      <c r="U14" s="429"/>
      <c r="V14" s="429"/>
      <c r="W14" s="429"/>
    </row>
    <row r="15" spans="2:23" ht="16.5" hidden="1" thickBot="1" x14ac:dyDescent="0.3">
      <c r="B15" s="414"/>
      <c r="C15" s="745">
        <v>43100</v>
      </c>
      <c r="D15" s="745"/>
      <c r="E15" s="745"/>
      <c r="F15" s="745"/>
      <c r="G15" s="745"/>
      <c r="H15" s="745"/>
      <c r="I15" s="745"/>
      <c r="J15" s="430"/>
      <c r="K15" s="416"/>
      <c r="L15" s="745">
        <v>42735</v>
      </c>
      <c r="M15" s="745"/>
      <c r="N15" s="745"/>
      <c r="O15" s="745"/>
      <c r="P15" s="745"/>
      <c r="Q15" s="745"/>
      <c r="R15" s="745"/>
      <c r="S15" s="431"/>
      <c r="T15" s="432"/>
      <c r="U15" s="741" t="s">
        <v>276</v>
      </c>
      <c r="V15" s="741"/>
      <c r="W15" s="741"/>
    </row>
    <row r="16" spans="2:23" ht="16.5" hidden="1" thickBot="1" x14ac:dyDescent="0.3">
      <c r="B16" s="417"/>
      <c r="C16" s="418" t="s">
        <v>0</v>
      </c>
      <c r="D16" s="418"/>
      <c r="E16" s="418"/>
      <c r="F16" s="419" t="s">
        <v>1</v>
      </c>
      <c r="G16" s="419"/>
      <c r="H16" s="419"/>
      <c r="I16" s="419" t="s">
        <v>2</v>
      </c>
      <c r="J16" s="418"/>
      <c r="K16" s="418"/>
      <c r="L16" s="418" t="s">
        <v>0</v>
      </c>
      <c r="M16" s="418"/>
      <c r="N16" s="418"/>
      <c r="O16" s="419" t="s">
        <v>1</v>
      </c>
      <c r="P16" s="419"/>
      <c r="Q16" s="419"/>
      <c r="R16" s="419" t="s">
        <v>2</v>
      </c>
      <c r="S16" s="419"/>
      <c r="T16" s="418"/>
      <c r="U16" s="421" t="s">
        <v>0</v>
      </c>
      <c r="V16" s="421" t="s">
        <v>1</v>
      </c>
      <c r="W16" s="421" t="s">
        <v>2</v>
      </c>
    </row>
    <row r="17" spans="2:23" hidden="1" x14ac:dyDescent="0.25">
      <c r="B17" s="414"/>
      <c r="C17" s="424"/>
      <c r="D17" s="424"/>
      <c r="E17" s="424"/>
      <c r="F17" s="424"/>
      <c r="G17" s="424"/>
      <c r="H17" s="424"/>
      <c r="I17" s="424"/>
      <c r="J17" s="424"/>
      <c r="K17" s="424"/>
      <c r="L17" s="424"/>
      <c r="M17" s="424"/>
      <c r="N17" s="424"/>
      <c r="O17" s="424"/>
      <c r="P17" s="424"/>
      <c r="Q17" s="424"/>
      <c r="R17" s="424"/>
      <c r="S17" s="424"/>
      <c r="T17" s="424"/>
      <c r="U17" s="422"/>
      <c r="V17" s="422"/>
      <c r="W17" s="422"/>
    </row>
    <row r="18" spans="2:23" hidden="1" x14ac:dyDescent="0.25">
      <c r="B18" s="414" t="s">
        <v>3</v>
      </c>
      <c r="C18" s="424">
        <f>I18+F18</f>
        <v>561</v>
      </c>
      <c r="D18" s="423">
        <f>C18/$C$22</f>
        <v>0.42467827403482211</v>
      </c>
      <c r="E18" s="423"/>
      <c r="F18" s="424">
        <v>464</v>
      </c>
      <c r="G18" s="423">
        <f>F18/C18</f>
        <v>0.82709447415329773</v>
      </c>
      <c r="H18" s="423"/>
      <c r="I18" s="424">
        <v>97</v>
      </c>
      <c r="J18" s="423">
        <f>I18/C18</f>
        <v>0.17290552584670232</v>
      </c>
      <c r="K18" s="424"/>
      <c r="L18" s="424">
        <v>577</v>
      </c>
      <c r="M18" s="423">
        <f>L18/$L$22</f>
        <v>0.4274074074074074</v>
      </c>
      <c r="N18" s="423"/>
      <c r="O18" s="424">
        <v>482</v>
      </c>
      <c r="P18" s="423">
        <f>O18/L18</f>
        <v>0.8353552859618717</v>
      </c>
      <c r="Q18" s="423"/>
      <c r="R18" s="424">
        <v>95</v>
      </c>
      <c r="S18" s="423">
        <f>R18/L18</f>
        <v>0.16464471403812825</v>
      </c>
      <c r="T18" s="423"/>
      <c r="U18" s="422">
        <f>C18-L18</f>
        <v>-16</v>
      </c>
      <c r="V18" s="422">
        <f>F18-O18</f>
        <v>-18</v>
      </c>
      <c r="W18" s="422">
        <f>I18-R18</f>
        <v>2</v>
      </c>
    </row>
    <row r="19" spans="2:23" hidden="1" x14ac:dyDescent="0.25">
      <c r="B19" s="414" t="s">
        <v>4</v>
      </c>
      <c r="C19" s="424">
        <f>I19+F19</f>
        <v>203</v>
      </c>
      <c r="D19" s="423">
        <f>C19/$C$22</f>
        <v>0.15367146101438303</v>
      </c>
      <c r="E19" s="423"/>
      <c r="F19" s="424">
        <v>104</v>
      </c>
      <c r="G19" s="423">
        <f>F19/C19</f>
        <v>0.51231527093596063</v>
      </c>
      <c r="H19" s="423"/>
      <c r="I19" s="424">
        <v>99</v>
      </c>
      <c r="J19" s="423">
        <f>I19/C19</f>
        <v>0.48768472906403942</v>
      </c>
      <c r="K19" s="424"/>
      <c r="L19" s="424">
        <v>201</v>
      </c>
      <c r="M19" s="423">
        <f>L19/$L$22</f>
        <v>0.14888888888888888</v>
      </c>
      <c r="N19" s="423"/>
      <c r="O19" s="424">
        <v>105</v>
      </c>
      <c r="P19" s="423">
        <f>O19/L19</f>
        <v>0.52238805970149249</v>
      </c>
      <c r="Q19" s="423"/>
      <c r="R19" s="424">
        <v>96</v>
      </c>
      <c r="S19" s="423">
        <f>R19/L19</f>
        <v>0.47761194029850745</v>
      </c>
      <c r="T19" s="423"/>
      <c r="U19" s="422">
        <f>C19-L19</f>
        <v>2</v>
      </c>
      <c r="V19" s="422">
        <f>F19-O19</f>
        <v>-1</v>
      </c>
      <c r="W19" s="422">
        <f>I19-R19</f>
        <v>3</v>
      </c>
    </row>
    <row r="20" spans="2:23" hidden="1" x14ac:dyDescent="0.25">
      <c r="B20" s="414" t="s">
        <v>5</v>
      </c>
      <c r="C20" s="424">
        <f>I20+F20</f>
        <v>557</v>
      </c>
      <c r="D20" s="423">
        <f>C20/$C$22</f>
        <v>0.42165026495079483</v>
      </c>
      <c r="E20" s="423"/>
      <c r="F20" s="424">
        <v>552</v>
      </c>
      <c r="G20" s="423">
        <f>F20/C20</f>
        <v>0.99102333931777375</v>
      </c>
      <c r="H20" s="423"/>
      <c r="I20" s="424">
        <v>5</v>
      </c>
      <c r="J20" s="423">
        <f>I20/C20</f>
        <v>8.9766606822262122E-3</v>
      </c>
      <c r="K20" s="424"/>
      <c r="L20" s="424">
        <v>572</v>
      </c>
      <c r="M20" s="423">
        <f>L20/$L$22</f>
        <v>0.42370370370370369</v>
      </c>
      <c r="N20" s="423"/>
      <c r="O20" s="424">
        <v>566</v>
      </c>
      <c r="P20" s="423">
        <f>O20/L20</f>
        <v>0.98951048951048948</v>
      </c>
      <c r="Q20" s="423"/>
      <c r="R20" s="424">
        <v>6</v>
      </c>
      <c r="S20" s="423">
        <f>R20/L20</f>
        <v>1.048951048951049E-2</v>
      </c>
      <c r="T20" s="423"/>
      <c r="U20" s="422">
        <f>C20-L20</f>
        <v>-15</v>
      </c>
      <c r="V20" s="422">
        <f>F20-O20</f>
        <v>-14</v>
      </c>
      <c r="W20" s="422">
        <f>I20-R20</f>
        <v>-1</v>
      </c>
    </row>
    <row r="21" spans="2:23" ht="16.5" hidden="1" thickBot="1" x14ac:dyDescent="0.3">
      <c r="B21" s="417"/>
      <c r="C21" s="425"/>
      <c r="D21" s="426"/>
      <c r="E21" s="426"/>
      <c r="F21" s="425"/>
      <c r="G21" s="426"/>
      <c r="H21" s="426"/>
      <c r="I21" s="425"/>
      <c r="J21" s="426"/>
      <c r="K21" s="425"/>
      <c r="L21" s="425"/>
      <c r="M21" s="426"/>
      <c r="N21" s="426"/>
      <c r="O21" s="425"/>
      <c r="P21" s="426"/>
      <c r="Q21" s="426"/>
      <c r="R21" s="425"/>
      <c r="S21" s="426"/>
      <c r="T21" s="426"/>
      <c r="U21" s="427"/>
      <c r="V21" s="427"/>
      <c r="W21" s="427"/>
    </row>
    <row r="22" spans="2:23" ht="16.5" hidden="1" thickBot="1" x14ac:dyDescent="0.3">
      <c r="B22" s="420" t="s">
        <v>0</v>
      </c>
      <c r="C22" s="433">
        <f>C18+C19+C20</f>
        <v>1321</v>
      </c>
      <c r="D22" s="434">
        <f>C22/$C$22</f>
        <v>1</v>
      </c>
      <c r="E22" s="434"/>
      <c r="F22" s="433">
        <f>F18+F19+F20</f>
        <v>1120</v>
      </c>
      <c r="G22" s="434">
        <f>F22/C22</f>
        <v>0.84784254352763055</v>
      </c>
      <c r="H22" s="434"/>
      <c r="I22" s="433">
        <f>I18+I19+I20</f>
        <v>201</v>
      </c>
      <c r="J22" s="434">
        <f>I22/C22</f>
        <v>0.15215745647236942</v>
      </c>
      <c r="K22" s="435"/>
      <c r="L22" s="433">
        <f>L18+L19+L20</f>
        <v>1350</v>
      </c>
      <c r="M22" s="434">
        <f>L22/$L$22</f>
        <v>1</v>
      </c>
      <c r="N22" s="434"/>
      <c r="O22" s="433">
        <f>O18+O19+O20</f>
        <v>1153</v>
      </c>
      <c r="P22" s="434">
        <f>O22/L22</f>
        <v>0.8540740740740741</v>
      </c>
      <c r="Q22" s="434"/>
      <c r="R22" s="433">
        <f>R18+R19+R20</f>
        <v>197</v>
      </c>
      <c r="S22" s="434">
        <f>R22/L22</f>
        <v>0.14592592592592593</v>
      </c>
      <c r="T22" s="428"/>
      <c r="U22" s="436">
        <f>C22-L22</f>
        <v>-29</v>
      </c>
      <c r="V22" s="436">
        <f>F22-O22</f>
        <v>-33</v>
      </c>
      <c r="W22" s="436">
        <f>I22-R22</f>
        <v>4</v>
      </c>
    </row>
    <row r="23" spans="2:23" x14ac:dyDescent="0.25">
      <c r="B23" s="437"/>
    </row>
    <row r="24" spans="2:23" hidden="1" x14ac:dyDescent="0.25">
      <c r="B24" s="413"/>
    </row>
    <row r="25" spans="2:23" hidden="1" x14ac:dyDescent="0.25">
      <c r="B25" s="743" t="s">
        <v>7</v>
      </c>
      <c r="C25" s="743"/>
      <c r="D25" s="412"/>
      <c r="E25" s="412"/>
    </row>
    <row r="26" spans="2:23" hidden="1" x14ac:dyDescent="0.25">
      <c r="B26" s="413"/>
    </row>
    <row r="27" spans="2:23" ht="16.5" hidden="1" thickBot="1" x14ac:dyDescent="0.3">
      <c r="B27" s="438"/>
      <c r="C27" s="742" t="s">
        <v>8</v>
      </c>
      <c r="D27" s="742"/>
      <c r="E27" s="742"/>
      <c r="F27" s="742"/>
      <c r="G27" s="415"/>
      <c r="H27" s="415"/>
      <c r="O27" s="439"/>
      <c r="P27" s="439"/>
      <c r="Q27" s="439"/>
    </row>
    <row r="28" spans="2:23" ht="32.25" hidden="1" thickBot="1" x14ac:dyDescent="0.3">
      <c r="B28" s="420"/>
      <c r="C28" s="418" t="s">
        <v>275</v>
      </c>
      <c r="D28" s="418"/>
      <c r="E28" s="418"/>
      <c r="F28" s="418" t="s">
        <v>13</v>
      </c>
      <c r="G28" s="415"/>
      <c r="H28" s="415"/>
      <c r="O28" s="439"/>
      <c r="P28" s="439"/>
      <c r="Q28" s="439"/>
    </row>
    <row r="29" spans="2:23" hidden="1" x14ac:dyDescent="0.25">
      <c r="B29" s="414"/>
      <c r="C29" s="414"/>
      <c r="D29" s="414"/>
      <c r="E29" s="414"/>
      <c r="F29" s="414"/>
      <c r="G29" s="414"/>
      <c r="H29" s="414"/>
      <c r="O29" s="439"/>
      <c r="P29" s="439"/>
      <c r="Q29" s="439"/>
    </row>
    <row r="30" spans="2:23" hidden="1" x14ac:dyDescent="0.25">
      <c r="B30" s="440" t="s">
        <v>3</v>
      </c>
      <c r="C30" s="424">
        <v>5</v>
      </c>
      <c r="D30" s="424"/>
      <c r="E30" s="424"/>
      <c r="F30" s="424">
        <v>4</v>
      </c>
      <c r="G30" s="424"/>
      <c r="H30" s="424"/>
      <c r="O30" s="439"/>
      <c r="P30" s="439"/>
      <c r="Q30" s="439"/>
    </row>
    <row r="31" spans="2:23" hidden="1" x14ac:dyDescent="0.25">
      <c r="B31" s="440" t="s">
        <v>4</v>
      </c>
      <c r="C31" s="424">
        <v>3</v>
      </c>
      <c r="D31" s="424"/>
      <c r="E31" s="424"/>
      <c r="F31" s="424">
        <v>2</v>
      </c>
      <c r="G31" s="424"/>
      <c r="H31" s="424"/>
      <c r="O31" s="439"/>
      <c r="P31" s="439"/>
      <c r="Q31" s="439"/>
    </row>
    <row r="32" spans="2:23" hidden="1" x14ac:dyDescent="0.25">
      <c r="B32" s="440" t="s">
        <v>5</v>
      </c>
      <c r="C32" s="424">
        <v>10</v>
      </c>
      <c r="D32" s="424"/>
      <c r="E32" s="424"/>
      <c r="F32" s="424">
        <v>9</v>
      </c>
      <c r="G32" s="424"/>
      <c r="H32" s="424"/>
      <c r="O32" s="439"/>
      <c r="P32" s="439"/>
      <c r="Q32" s="439"/>
    </row>
    <row r="33" spans="2:9" ht="16.5" hidden="1" thickBot="1" x14ac:dyDescent="0.3">
      <c r="B33" s="441"/>
      <c r="C33" s="425"/>
      <c r="D33" s="425"/>
      <c r="E33" s="425"/>
      <c r="F33" s="425"/>
      <c r="G33" s="442"/>
      <c r="H33" s="442"/>
      <c r="I33" s="443">
        <f>18/C12</f>
        <v>1.3119533527696793E-2</v>
      </c>
    </row>
    <row r="34" spans="2:9" ht="16.5" hidden="1" thickBot="1" x14ac:dyDescent="0.3">
      <c r="B34" s="444" t="s">
        <v>0</v>
      </c>
      <c r="C34" s="435">
        <f>C30+C31+C32</f>
        <v>18</v>
      </c>
      <c r="D34" s="435"/>
      <c r="E34" s="435"/>
      <c r="F34" s="435">
        <f>F30+F31+F32</f>
        <v>15</v>
      </c>
      <c r="G34" s="393"/>
      <c r="H34" s="393"/>
      <c r="I34" s="443">
        <f>15/C22</f>
        <v>1.1355034065102196E-2</v>
      </c>
    </row>
    <row r="35" spans="2:9" hidden="1" x14ac:dyDescent="0.25"/>
    <row r="36" spans="2:9" hidden="1" x14ac:dyDescent="0.25">
      <c r="B36" s="385" t="s">
        <v>14</v>
      </c>
    </row>
    <row r="37" spans="2:9" hidden="1" x14ac:dyDescent="0.25"/>
    <row r="38" spans="2:9" hidden="1" x14ac:dyDescent="0.25">
      <c r="B38" s="445">
        <v>2013</v>
      </c>
      <c r="C38" s="446">
        <v>1462</v>
      </c>
    </row>
    <row r="39" spans="2:9" hidden="1" x14ac:dyDescent="0.25">
      <c r="B39" s="445">
        <v>2014</v>
      </c>
      <c r="C39" s="446">
        <v>1383</v>
      </c>
    </row>
    <row r="40" spans="2:9" hidden="1" x14ac:dyDescent="0.25">
      <c r="B40" s="445">
        <v>2015</v>
      </c>
      <c r="C40" s="446">
        <v>1369</v>
      </c>
      <c r="D40" s="446"/>
      <c r="E40" s="446"/>
    </row>
    <row r="41" spans="2:9" hidden="1" x14ac:dyDescent="0.25">
      <c r="B41" s="445">
        <v>2016</v>
      </c>
      <c r="C41" s="446">
        <v>1357</v>
      </c>
      <c r="D41" s="446"/>
      <c r="E41" s="446"/>
    </row>
    <row r="42" spans="2:9" hidden="1" x14ac:dyDescent="0.25">
      <c r="B42" s="445">
        <v>2017</v>
      </c>
      <c r="C42" s="446">
        <f>C12</f>
        <v>1372</v>
      </c>
      <c r="D42" s="446"/>
      <c r="E42" s="446"/>
    </row>
    <row r="43" spans="2:9" hidden="1" x14ac:dyDescent="0.25">
      <c r="D43" s="446"/>
      <c r="E43" s="446"/>
    </row>
    <row r="44" spans="2:9" hidden="1" x14ac:dyDescent="0.25">
      <c r="C44" s="385" t="s">
        <v>1</v>
      </c>
      <c r="D44" s="385" t="s">
        <v>2</v>
      </c>
    </row>
    <row r="45" spans="2:9" hidden="1" x14ac:dyDescent="0.25">
      <c r="B45" s="414" t="s">
        <v>3</v>
      </c>
      <c r="C45" s="385">
        <f>F8</f>
        <v>486</v>
      </c>
      <c r="D45" s="385">
        <v>98</v>
      </c>
    </row>
    <row r="46" spans="2:9" hidden="1" x14ac:dyDescent="0.25">
      <c r="B46" s="414" t="s">
        <v>5</v>
      </c>
      <c r="C46" s="385">
        <v>577</v>
      </c>
      <c r="D46" s="385">
        <v>6</v>
      </c>
    </row>
    <row r="47" spans="2:9" hidden="1" x14ac:dyDescent="0.25">
      <c r="B47" s="414" t="s">
        <v>4</v>
      </c>
      <c r="C47" s="385">
        <v>104</v>
      </c>
      <c r="D47" s="385">
        <v>101</v>
      </c>
    </row>
    <row r="48" spans="2:9" hidden="1" x14ac:dyDescent="0.25"/>
    <row r="49" spans="2:8" hidden="1" x14ac:dyDescent="0.25">
      <c r="C49" s="385">
        <v>2016</v>
      </c>
      <c r="D49" s="385">
        <v>2017</v>
      </c>
    </row>
    <row r="50" spans="2:8" hidden="1" x14ac:dyDescent="0.25">
      <c r="B50" s="385" t="s">
        <v>274</v>
      </c>
      <c r="C50" s="446">
        <v>103397</v>
      </c>
      <c r="D50" s="446">
        <v>103397</v>
      </c>
      <c r="E50" s="446"/>
    </row>
    <row r="53" spans="2:8" x14ac:dyDescent="0.25">
      <c r="G53" s="446"/>
      <c r="H53" s="446"/>
    </row>
  </sheetData>
  <mergeCells count="10">
    <mergeCell ref="C2:S2"/>
    <mergeCell ref="U4:W4"/>
    <mergeCell ref="U15:W15"/>
    <mergeCell ref="C27:F27"/>
    <mergeCell ref="B25:C25"/>
    <mergeCell ref="C4:J4"/>
    <mergeCell ref="L4:S4"/>
    <mergeCell ref="C14:R14"/>
    <mergeCell ref="C15:I15"/>
    <mergeCell ref="L15:R15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38DD5"/>
    <pageSetUpPr fitToPage="1"/>
  </sheetPr>
  <dimension ref="B2:J26"/>
  <sheetViews>
    <sheetView showGridLines="0" workbookViewId="0">
      <selection activeCell="J6" sqref="J6:J18"/>
    </sheetView>
  </sheetViews>
  <sheetFormatPr baseColWidth="10" defaultColWidth="11.25" defaultRowHeight="15.75" x14ac:dyDescent="0.25"/>
  <cols>
    <col min="1" max="1" width="5.75" style="331" customWidth="1"/>
    <col min="2" max="2" width="35.375" style="331" customWidth="1"/>
    <col min="3" max="3" width="1" style="331" customWidth="1"/>
    <col min="4" max="4" width="10.75" style="331" customWidth="1"/>
    <col min="5" max="5" width="1" style="331" customWidth="1"/>
    <col min="6" max="6" width="10.75" style="331" customWidth="1"/>
    <col min="7" max="7" width="1" style="331" customWidth="1"/>
    <col min="8" max="8" width="10.75" style="331" customWidth="1"/>
    <col min="9" max="9" width="1" style="331" customWidth="1"/>
    <col min="10" max="10" width="10.75" style="331" customWidth="1"/>
    <col min="11" max="16384" width="11.25" style="331"/>
  </cols>
  <sheetData>
    <row r="2" spans="2:10" ht="18.75" x14ac:dyDescent="0.25">
      <c r="B2" s="746" t="s">
        <v>657</v>
      </c>
      <c r="C2" s="746"/>
      <c r="D2" s="746"/>
      <c r="E2" s="746"/>
      <c r="F2" s="746"/>
      <c r="G2" s="746"/>
      <c r="H2" s="746"/>
      <c r="I2" s="746"/>
      <c r="J2" s="746"/>
    </row>
    <row r="3" spans="2:10" x14ac:dyDescent="0.25">
      <c r="B3" s="453"/>
      <c r="C3" s="453"/>
      <c r="D3" s="453"/>
      <c r="E3" s="453"/>
      <c r="F3" s="453"/>
      <c r="G3" s="453"/>
      <c r="H3" s="454"/>
      <c r="I3" s="454"/>
      <c r="J3" s="454"/>
    </row>
    <row r="4" spans="2:10" ht="31.5" x14ac:dyDescent="0.25">
      <c r="B4" s="455" t="s">
        <v>219</v>
      </c>
      <c r="C4" s="455"/>
      <c r="D4" s="462" t="s">
        <v>275</v>
      </c>
      <c r="E4" s="621"/>
      <c r="F4" s="462" t="s">
        <v>13</v>
      </c>
      <c r="G4" s="621"/>
      <c r="H4" s="462" t="s">
        <v>582</v>
      </c>
      <c r="I4" s="621"/>
      <c r="J4" s="462" t="s">
        <v>326</v>
      </c>
    </row>
    <row r="5" spans="2:10" x14ac:dyDescent="0.25">
      <c r="B5" s="453"/>
      <c r="C5" s="453"/>
      <c r="D5" s="453"/>
      <c r="E5" s="453"/>
      <c r="F5" s="453"/>
      <c r="G5" s="453"/>
      <c r="H5" s="453"/>
      <c r="I5" s="453"/>
      <c r="J5" s="453"/>
    </row>
    <row r="6" spans="2:10" x14ac:dyDescent="0.25">
      <c r="B6" s="463" t="s">
        <v>246</v>
      </c>
      <c r="C6" s="455"/>
      <c r="D6" s="643">
        <f>D7+D8</f>
        <v>470199</v>
      </c>
      <c r="E6" s="644"/>
      <c r="F6" s="643">
        <f>F7+F8</f>
        <v>410762</v>
      </c>
      <c r="G6" s="644"/>
      <c r="H6" s="693">
        <f>F6-D6</f>
        <v>-59437</v>
      </c>
      <c r="I6" s="456"/>
      <c r="J6" s="667">
        <f>((F6-D6)/D6)*100</f>
        <v>-12.640818036618537</v>
      </c>
    </row>
    <row r="7" spans="2:10" x14ac:dyDescent="0.25">
      <c r="B7" s="453" t="s">
        <v>216</v>
      </c>
      <c r="C7" s="453"/>
      <c r="D7" s="639">
        <v>430970</v>
      </c>
      <c r="E7" s="639"/>
      <c r="F7" s="639">
        <v>372069</v>
      </c>
      <c r="G7" s="639"/>
      <c r="H7" s="694">
        <f>F7-D7</f>
        <v>-58901</v>
      </c>
      <c r="I7" s="457"/>
      <c r="J7" s="700">
        <f>((F7-D7)/D7)*100</f>
        <v>-13.667076594658562</v>
      </c>
    </row>
    <row r="8" spans="2:10" x14ac:dyDescent="0.25">
      <c r="B8" s="453" t="s">
        <v>247</v>
      </c>
      <c r="C8" s="453"/>
      <c r="D8" s="639">
        <v>39229</v>
      </c>
      <c r="E8" s="639"/>
      <c r="F8" s="639">
        <v>38693</v>
      </c>
      <c r="G8" s="639"/>
      <c r="H8" s="694">
        <f>F8-D8</f>
        <v>-536</v>
      </c>
      <c r="I8" s="457"/>
      <c r="J8" s="700">
        <f>((F8-D8)/D8)*100</f>
        <v>-1.3663361288842439</v>
      </c>
    </row>
    <row r="9" spans="2:10" x14ac:dyDescent="0.25">
      <c r="B9" s="453"/>
      <c r="C9" s="453"/>
      <c r="D9" s="695"/>
      <c r="E9" s="695"/>
      <c r="F9" s="695"/>
      <c r="G9" s="695"/>
      <c r="H9" s="696"/>
      <c r="I9" s="456"/>
      <c r="J9" s="701"/>
    </row>
    <row r="10" spans="2:10" x14ac:dyDescent="0.25">
      <c r="B10" s="463" t="s">
        <v>248</v>
      </c>
      <c r="C10" s="455"/>
      <c r="D10" s="643">
        <f>D11+D12</f>
        <v>149527</v>
      </c>
      <c r="E10" s="644"/>
      <c r="F10" s="643">
        <f>F11+F12</f>
        <v>142727</v>
      </c>
      <c r="G10" s="644"/>
      <c r="H10" s="693">
        <f>F10-D10</f>
        <v>-6800</v>
      </c>
      <c r="I10" s="456"/>
      <c r="J10" s="667">
        <f>((D10-F10)/F10)*100</f>
        <v>4.7643403140260778</v>
      </c>
    </row>
    <row r="11" spans="2:10" x14ac:dyDescent="0.25">
      <c r="B11" s="453" t="s">
        <v>249</v>
      </c>
      <c r="C11" s="453"/>
      <c r="D11" s="639">
        <v>83387</v>
      </c>
      <c r="E11" s="639"/>
      <c r="F11" s="639">
        <v>81822</v>
      </c>
      <c r="G11" s="639"/>
      <c r="H11" s="694">
        <f>F11-D11</f>
        <v>-1565</v>
      </c>
      <c r="I11" s="457"/>
      <c r="J11" s="700">
        <f>((F11-D11)/D11)*100</f>
        <v>-1.8767913463729358</v>
      </c>
    </row>
    <row r="12" spans="2:10" x14ac:dyDescent="0.25">
      <c r="B12" s="453" t="s">
        <v>250</v>
      </c>
      <c r="C12" s="453"/>
      <c r="D12" s="639">
        <v>66140</v>
      </c>
      <c r="E12" s="639"/>
      <c r="F12" s="639">
        <v>60905</v>
      </c>
      <c r="G12" s="639"/>
      <c r="H12" s="694">
        <f>F12-D12</f>
        <v>-5235</v>
      </c>
      <c r="I12" s="457"/>
      <c r="J12" s="700">
        <f>((F12-D12)/D12)*100</f>
        <v>-7.9150287269428476</v>
      </c>
    </row>
    <row r="13" spans="2:10" x14ac:dyDescent="0.25">
      <c r="B13" s="453"/>
      <c r="C13" s="453"/>
      <c r="D13" s="695"/>
      <c r="E13" s="695"/>
      <c r="F13" s="695"/>
      <c r="G13" s="695"/>
      <c r="H13" s="696"/>
      <c r="I13" s="456"/>
      <c r="J13" s="701"/>
    </row>
    <row r="14" spans="2:10" x14ac:dyDescent="0.25">
      <c r="B14" s="463" t="s">
        <v>251</v>
      </c>
      <c r="C14" s="455"/>
      <c r="D14" s="643">
        <f>D15+D16</f>
        <v>21732</v>
      </c>
      <c r="E14" s="644"/>
      <c r="F14" s="643">
        <f>F15+F16</f>
        <v>7670</v>
      </c>
      <c r="G14" s="644"/>
      <c r="H14" s="693">
        <f>F14-D14</f>
        <v>-14062</v>
      </c>
      <c r="I14" s="456"/>
      <c r="J14" s="667">
        <f>((D14-F14)/F14)*100</f>
        <v>183.33767926988267</v>
      </c>
    </row>
    <row r="15" spans="2:10" x14ac:dyDescent="0.25">
      <c r="B15" s="453" t="s">
        <v>252</v>
      </c>
      <c r="C15" s="453"/>
      <c r="D15" s="639">
        <v>11000</v>
      </c>
      <c r="E15" s="642"/>
      <c r="F15" s="642">
        <v>0</v>
      </c>
      <c r="G15" s="639"/>
      <c r="H15" s="694">
        <f>F15-D15</f>
        <v>-11000</v>
      </c>
      <c r="I15" s="457"/>
      <c r="J15" s="666" t="s">
        <v>230</v>
      </c>
    </row>
    <row r="16" spans="2:10" x14ac:dyDescent="0.25">
      <c r="B16" s="453" t="s">
        <v>253</v>
      </c>
      <c r="C16" s="453"/>
      <c r="D16" s="639">
        <v>10732</v>
      </c>
      <c r="E16" s="639"/>
      <c r="F16" s="639">
        <v>7670</v>
      </c>
      <c r="G16" s="639"/>
      <c r="H16" s="694">
        <f>F16-D16</f>
        <v>-3062</v>
      </c>
      <c r="I16" s="457"/>
      <c r="J16" s="700">
        <f>((F16-D16)/D16)*100</f>
        <v>-28.531494595601934</v>
      </c>
    </row>
    <row r="17" spans="2:10" x14ac:dyDescent="0.25">
      <c r="B17" s="453"/>
      <c r="C17" s="453"/>
      <c r="D17" s="642"/>
      <c r="E17" s="642"/>
      <c r="F17" s="642"/>
      <c r="G17" s="642"/>
      <c r="H17" s="696"/>
      <c r="I17" s="456"/>
      <c r="J17" s="701"/>
    </row>
    <row r="18" spans="2:10" ht="18.75" x14ac:dyDescent="0.3">
      <c r="B18" s="631" t="s">
        <v>0</v>
      </c>
      <c r="C18" s="632"/>
      <c r="D18" s="697">
        <f>D6+D10+D14</f>
        <v>641458</v>
      </c>
      <c r="E18" s="698"/>
      <c r="F18" s="697">
        <v>561159</v>
      </c>
      <c r="G18" s="698"/>
      <c r="H18" s="699">
        <f>F18-D18</f>
        <v>-80299</v>
      </c>
      <c r="I18" s="633"/>
      <c r="J18" s="668">
        <f>((F18-D18)/D18)*100</f>
        <v>-12.518200723975692</v>
      </c>
    </row>
    <row r="19" spans="2:10" x14ac:dyDescent="0.25">
      <c r="B19" s="458"/>
      <c r="C19" s="458"/>
      <c r="D19" s="458"/>
      <c r="E19" s="458"/>
      <c r="F19" s="459"/>
      <c r="G19" s="459"/>
      <c r="H19" s="458"/>
      <c r="I19" s="458"/>
    </row>
    <row r="20" spans="2:10" x14ac:dyDescent="0.25">
      <c r="B20" s="458"/>
      <c r="C20" s="458"/>
      <c r="D20" s="458"/>
      <c r="E20" s="458"/>
      <c r="F20" s="458"/>
      <c r="G20" s="458"/>
      <c r="H20" s="458"/>
      <c r="I20" s="458"/>
    </row>
    <row r="26" spans="2:10" x14ac:dyDescent="0.25">
      <c r="D26" s="460"/>
      <c r="E26" s="460"/>
      <c r="F26" s="461"/>
      <c r="G26" s="461"/>
    </row>
  </sheetData>
  <mergeCells count="1">
    <mergeCell ref="B2:J2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38DD5"/>
  </sheetPr>
  <dimension ref="A2:R28"/>
  <sheetViews>
    <sheetView showGridLines="0" workbookViewId="0">
      <selection activeCell="H25" sqref="H25:H28"/>
    </sheetView>
  </sheetViews>
  <sheetFormatPr baseColWidth="10" defaultColWidth="11" defaultRowHeight="15.75" x14ac:dyDescent="0.25"/>
  <cols>
    <col min="1" max="1" width="5.75" style="530" customWidth="1"/>
    <col min="2" max="2" width="36.25" style="530" customWidth="1"/>
    <col min="3" max="3" width="1" style="530" customWidth="1"/>
    <col min="4" max="4" width="10.75" style="530" customWidth="1"/>
    <col min="5" max="5" width="1" style="530" customWidth="1"/>
    <col min="6" max="6" width="10.75" style="530" customWidth="1"/>
    <col min="7" max="7" width="1" style="530" customWidth="1"/>
    <col min="8" max="8" width="10.75" style="530" customWidth="1"/>
    <col min="9" max="9" width="1" style="530" customWidth="1"/>
    <col min="10" max="10" width="10.75" style="530" customWidth="1"/>
    <col min="11" max="16384" width="11" style="530"/>
  </cols>
  <sheetData>
    <row r="2" spans="1:18" s="531" customFormat="1" ht="18.75" x14ac:dyDescent="0.25">
      <c r="B2" s="731" t="s">
        <v>656</v>
      </c>
      <c r="C2" s="731"/>
      <c r="D2" s="731"/>
      <c r="E2" s="731"/>
      <c r="F2" s="731"/>
      <c r="G2" s="731"/>
      <c r="H2" s="731"/>
      <c r="I2" s="731"/>
      <c r="J2" s="731"/>
    </row>
    <row r="3" spans="1:18" s="531" customFormat="1" x14ac:dyDescent="0.25"/>
    <row r="4" spans="1:18" s="531" customFormat="1" ht="31.5" x14ac:dyDescent="0.25">
      <c r="A4" s="532"/>
      <c r="B4" s="532" t="s">
        <v>219</v>
      </c>
      <c r="C4" s="532"/>
      <c r="D4" s="542">
        <v>43100</v>
      </c>
      <c r="E4" s="569"/>
      <c r="F4" s="542">
        <v>42735</v>
      </c>
      <c r="G4" s="569"/>
      <c r="H4" s="542" t="s">
        <v>586</v>
      </c>
      <c r="I4" s="569"/>
      <c r="J4" s="542" t="s">
        <v>582</v>
      </c>
    </row>
    <row r="5" spans="1:18" s="531" customFormat="1" x14ac:dyDescent="0.25">
      <c r="A5" s="532"/>
      <c r="B5" s="532"/>
      <c r="C5" s="532"/>
      <c r="D5" s="536"/>
      <c r="E5" s="536"/>
      <c r="F5" s="536"/>
      <c r="G5" s="536"/>
      <c r="H5" s="536"/>
      <c r="I5" s="536"/>
      <c r="J5" s="541"/>
    </row>
    <row r="6" spans="1:18" s="531" customFormat="1" x14ac:dyDescent="0.25">
      <c r="A6" s="532"/>
      <c r="B6" s="532" t="s">
        <v>232</v>
      </c>
      <c r="C6" s="532"/>
      <c r="D6" s="702">
        <v>318507</v>
      </c>
      <c r="E6" s="702"/>
      <c r="F6" s="702">
        <v>274787</v>
      </c>
      <c r="G6" s="702"/>
      <c r="H6" s="715">
        <f>((D6-F6)/F6)*100</f>
        <v>15.910505227685443</v>
      </c>
      <c r="I6" s="703"/>
      <c r="J6" s="702">
        <f>D6-F6</f>
        <v>43720</v>
      </c>
      <c r="L6" s="534"/>
      <c r="M6" s="532"/>
      <c r="N6" s="532"/>
      <c r="O6" s="532"/>
      <c r="P6" s="532"/>
      <c r="Q6" s="532"/>
      <c r="R6" s="532"/>
    </row>
    <row r="7" spans="1:18" x14ac:dyDescent="0.25">
      <c r="A7" s="537"/>
      <c r="B7" s="532" t="s">
        <v>233</v>
      </c>
      <c r="C7" s="532"/>
      <c r="D7" s="702">
        <f>D8+D9</f>
        <v>76595</v>
      </c>
      <c r="E7" s="702"/>
      <c r="F7" s="702">
        <v>63520</v>
      </c>
      <c r="G7" s="702"/>
      <c r="H7" s="715">
        <f t="shared" ref="H7:H17" si="0">((D7-F7)/F7)*100</f>
        <v>20.584068010075569</v>
      </c>
      <c r="I7" s="703"/>
      <c r="J7" s="702">
        <f t="shared" ref="J7:J17" si="1">D7-F7</f>
        <v>13075</v>
      </c>
      <c r="L7" s="535"/>
      <c r="M7" s="532"/>
      <c r="N7" s="532"/>
      <c r="O7" s="536"/>
      <c r="P7" s="536"/>
      <c r="Q7" s="536"/>
      <c r="R7" s="537"/>
    </row>
    <row r="8" spans="1:18" x14ac:dyDescent="0.25">
      <c r="A8" s="537"/>
      <c r="B8" s="622" t="s">
        <v>238</v>
      </c>
      <c r="C8" s="622"/>
      <c r="D8" s="704">
        <v>218282</v>
      </c>
      <c r="E8" s="704"/>
      <c r="F8" s="704">
        <v>184706</v>
      </c>
      <c r="G8" s="704"/>
      <c r="H8" s="716">
        <f t="shared" si="0"/>
        <v>18.17807759358115</v>
      </c>
      <c r="I8" s="705"/>
      <c r="J8" s="704">
        <f t="shared" si="1"/>
        <v>33576</v>
      </c>
      <c r="L8" s="535"/>
      <c r="M8" s="532"/>
      <c r="N8" s="532"/>
      <c r="O8" s="533"/>
      <c r="P8" s="533"/>
      <c r="Q8" s="538"/>
      <c r="R8" s="537"/>
    </row>
    <row r="9" spans="1:18" x14ac:dyDescent="0.25">
      <c r="A9" s="537"/>
      <c r="B9" s="622" t="s">
        <v>234</v>
      </c>
      <c r="C9" s="622"/>
      <c r="D9" s="704">
        <v>-141687</v>
      </c>
      <c r="E9" s="704"/>
      <c r="F9" s="704">
        <v>-121186</v>
      </c>
      <c r="G9" s="704"/>
      <c r="H9" s="716">
        <f t="shared" si="0"/>
        <v>16.916970607165844</v>
      </c>
      <c r="I9" s="705"/>
      <c r="J9" s="704">
        <f t="shared" si="1"/>
        <v>-20501</v>
      </c>
      <c r="L9" s="535"/>
      <c r="M9" s="532"/>
      <c r="N9" s="532"/>
      <c r="O9" s="533"/>
      <c r="P9" s="533"/>
      <c r="Q9" s="538"/>
      <c r="R9" s="537"/>
    </row>
    <row r="10" spans="1:18" x14ac:dyDescent="0.25">
      <c r="A10" s="537"/>
      <c r="B10" s="537"/>
      <c r="C10" s="537"/>
      <c r="D10" s="704"/>
      <c r="E10" s="704"/>
      <c r="F10" s="704"/>
      <c r="G10" s="704"/>
      <c r="H10" s="715"/>
      <c r="I10" s="705"/>
      <c r="J10" s="702"/>
      <c r="L10" s="535"/>
      <c r="M10" s="532"/>
      <c r="N10" s="532"/>
      <c r="O10" s="533"/>
      <c r="P10" s="533"/>
      <c r="Q10" s="538"/>
      <c r="R10" s="537"/>
    </row>
    <row r="11" spans="1:18" s="531" customFormat="1" ht="18.75" x14ac:dyDescent="0.3">
      <c r="A11" s="532"/>
      <c r="B11" s="634" t="s">
        <v>235</v>
      </c>
      <c r="C11" s="635"/>
      <c r="D11" s="706">
        <f>D6+D7</f>
        <v>395102</v>
      </c>
      <c r="E11" s="707"/>
      <c r="F11" s="706">
        <f>F6+F7</f>
        <v>338307</v>
      </c>
      <c r="G11" s="707"/>
      <c r="H11" s="717">
        <f t="shared" si="0"/>
        <v>16.788006160085367</v>
      </c>
      <c r="I11" s="708"/>
      <c r="J11" s="706">
        <f t="shared" si="1"/>
        <v>56795</v>
      </c>
      <c r="L11" s="534"/>
      <c r="M11" s="537"/>
      <c r="N11" s="537"/>
      <c r="O11" s="539"/>
      <c r="P11" s="539"/>
      <c r="Q11" s="540"/>
      <c r="R11" s="532"/>
    </row>
    <row r="12" spans="1:18" s="531" customFormat="1" x14ac:dyDescent="0.25">
      <c r="A12" s="532"/>
      <c r="B12" s="532"/>
      <c r="C12" s="532"/>
      <c r="D12" s="702"/>
      <c r="E12" s="702"/>
      <c r="F12" s="702"/>
      <c r="G12" s="702"/>
      <c r="H12" s="715"/>
      <c r="I12" s="703"/>
      <c r="J12" s="702"/>
      <c r="L12" s="534"/>
      <c r="M12" s="537"/>
      <c r="N12" s="537"/>
      <c r="O12" s="539"/>
      <c r="P12" s="539"/>
      <c r="Q12" s="540"/>
      <c r="R12" s="532"/>
    </row>
    <row r="13" spans="1:18" x14ac:dyDescent="0.25">
      <c r="A13" s="537"/>
      <c r="B13" s="532" t="s">
        <v>667</v>
      </c>
      <c r="C13" s="532"/>
      <c r="D13" s="702">
        <v>247492</v>
      </c>
      <c r="E13" s="702"/>
      <c r="F13" s="702">
        <v>219826</v>
      </c>
      <c r="G13" s="702"/>
      <c r="H13" s="715">
        <f t="shared" si="0"/>
        <v>12.585408459417904</v>
      </c>
      <c r="I13" s="703"/>
      <c r="J13" s="702">
        <f t="shared" si="1"/>
        <v>27666</v>
      </c>
      <c r="L13" s="535"/>
      <c r="M13" s="537"/>
      <c r="N13" s="537"/>
      <c r="O13" s="539"/>
      <c r="P13" s="539"/>
      <c r="Q13" s="540"/>
      <c r="R13" s="537"/>
    </row>
    <row r="14" spans="1:18" x14ac:dyDescent="0.25">
      <c r="A14" s="537"/>
      <c r="B14" s="532" t="s">
        <v>668</v>
      </c>
      <c r="C14" s="532"/>
      <c r="D14" s="702">
        <v>89257</v>
      </c>
      <c r="E14" s="702"/>
      <c r="F14" s="702">
        <v>73454</v>
      </c>
      <c r="G14" s="702"/>
      <c r="H14" s="715">
        <f t="shared" si="0"/>
        <v>21.514144907016636</v>
      </c>
      <c r="I14" s="703"/>
      <c r="J14" s="702">
        <f t="shared" si="1"/>
        <v>15803</v>
      </c>
      <c r="L14" s="535"/>
      <c r="M14" s="532"/>
      <c r="N14" s="532"/>
      <c r="O14" s="533"/>
      <c r="P14" s="533"/>
      <c r="Q14" s="538"/>
      <c r="R14" s="537"/>
    </row>
    <row r="15" spans="1:18" x14ac:dyDescent="0.25">
      <c r="A15" s="537"/>
      <c r="B15" s="532" t="s">
        <v>236</v>
      </c>
      <c r="C15" s="532"/>
      <c r="D15" s="702">
        <v>58353</v>
      </c>
      <c r="E15" s="702"/>
      <c r="F15" s="702">
        <v>45027</v>
      </c>
      <c r="G15" s="702"/>
      <c r="H15" s="715">
        <f t="shared" si="0"/>
        <v>29.595575987740691</v>
      </c>
      <c r="I15" s="703"/>
      <c r="J15" s="702">
        <f t="shared" si="1"/>
        <v>13326</v>
      </c>
      <c r="L15" s="535"/>
      <c r="M15" s="532"/>
      <c r="N15" s="532"/>
      <c r="O15" s="533"/>
      <c r="P15" s="533"/>
      <c r="Q15" s="538"/>
      <c r="R15" s="537"/>
    </row>
    <row r="16" spans="1:18" x14ac:dyDescent="0.25">
      <c r="A16" s="537"/>
      <c r="B16" s="532"/>
      <c r="C16" s="532"/>
      <c r="D16" s="702"/>
      <c r="E16" s="702"/>
      <c r="F16" s="702"/>
      <c r="G16" s="702"/>
      <c r="H16" s="715"/>
      <c r="I16" s="703"/>
      <c r="J16" s="702"/>
      <c r="L16" s="535"/>
      <c r="M16" s="532"/>
      <c r="N16" s="532"/>
      <c r="O16" s="533"/>
      <c r="P16" s="533"/>
      <c r="Q16" s="538"/>
      <c r="R16" s="537"/>
    </row>
    <row r="17" spans="1:18" ht="18.75" x14ac:dyDescent="0.3">
      <c r="A17" s="537"/>
      <c r="B17" s="634" t="s">
        <v>237</v>
      </c>
      <c r="C17" s="635"/>
      <c r="D17" s="706">
        <f>D13+D14+D15</f>
        <v>395102</v>
      </c>
      <c r="E17" s="707"/>
      <c r="F17" s="706">
        <f>F13+F14+F15</f>
        <v>338307</v>
      </c>
      <c r="G17" s="707"/>
      <c r="H17" s="717">
        <f t="shared" si="0"/>
        <v>16.788006160085367</v>
      </c>
      <c r="I17" s="708"/>
      <c r="J17" s="706">
        <f t="shared" si="1"/>
        <v>56795</v>
      </c>
      <c r="L17" s="535"/>
      <c r="M17" s="532"/>
      <c r="N17" s="532"/>
      <c r="O17" s="533"/>
      <c r="P17" s="533"/>
      <c r="Q17" s="538"/>
      <c r="R17" s="537"/>
    </row>
    <row r="18" spans="1:18" x14ac:dyDescent="0.25">
      <c r="A18" s="537"/>
      <c r="B18" s="532"/>
      <c r="C18" s="532"/>
      <c r="D18" s="702"/>
      <c r="E18" s="702"/>
      <c r="F18" s="702"/>
      <c r="G18" s="702"/>
      <c r="H18" s="715"/>
      <c r="I18" s="703"/>
      <c r="J18" s="702"/>
      <c r="L18" s="535"/>
      <c r="M18" s="532"/>
      <c r="N18" s="532"/>
      <c r="O18" s="533"/>
      <c r="P18" s="533"/>
      <c r="Q18" s="538"/>
      <c r="R18" s="537"/>
    </row>
    <row r="19" spans="1:18" x14ac:dyDescent="0.25">
      <c r="A19" s="537"/>
      <c r="B19" s="532"/>
      <c r="C19" s="532"/>
      <c r="D19" s="702"/>
      <c r="E19" s="702"/>
      <c r="F19" s="702"/>
      <c r="G19" s="702"/>
      <c r="H19" s="715"/>
      <c r="I19" s="703"/>
      <c r="J19" s="702"/>
      <c r="L19" s="535"/>
      <c r="M19" s="532"/>
      <c r="N19" s="532"/>
      <c r="O19" s="533"/>
      <c r="P19" s="533"/>
      <c r="Q19" s="538"/>
      <c r="R19" s="537"/>
    </row>
    <row r="20" spans="1:18" x14ac:dyDescent="0.25">
      <c r="A20" s="537"/>
      <c r="B20" s="537"/>
      <c r="C20" s="537"/>
      <c r="D20" s="709"/>
      <c r="E20" s="709"/>
      <c r="F20" s="709"/>
      <c r="G20" s="709"/>
      <c r="H20" s="718"/>
      <c r="I20" s="709"/>
      <c r="J20" s="709"/>
      <c r="L20" s="535"/>
      <c r="M20" s="532"/>
      <c r="N20" s="532"/>
      <c r="O20" s="533"/>
      <c r="P20" s="533"/>
      <c r="Q20" s="538"/>
      <c r="R20" s="537"/>
    </row>
    <row r="21" spans="1:18" hidden="1" x14ac:dyDescent="0.25">
      <c r="A21" s="537"/>
      <c r="B21" s="543"/>
      <c r="C21" s="543"/>
      <c r="D21" s="710">
        <v>2017</v>
      </c>
      <c r="E21" s="710"/>
      <c r="F21" s="710">
        <v>2016</v>
      </c>
      <c r="G21" s="710"/>
      <c r="H21" s="718"/>
      <c r="I21" s="709"/>
      <c r="J21" s="709"/>
      <c r="L21" s="535"/>
      <c r="M21" s="532"/>
      <c r="N21" s="532"/>
      <c r="O21" s="533"/>
      <c r="P21" s="533"/>
      <c r="Q21" s="538"/>
      <c r="R21" s="537"/>
    </row>
    <row r="22" spans="1:18" s="531" customFormat="1" hidden="1" x14ac:dyDescent="0.25">
      <c r="A22" s="532"/>
      <c r="B22" s="544"/>
      <c r="C22" s="544"/>
      <c r="D22" s="704">
        <f>D14</f>
        <v>89257</v>
      </c>
      <c r="E22" s="704"/>
      <c r="F22" s="704">
        <f>F14</f>
        <v>73454</v>
      </c>
      <c r="G22" s="704"/>
      <c r="H22" s="718"/>
      <c r="I22" s="709"/>
      <c r="J22" s="709"/>
      <c r="L22" s="534"/>
      <c r="M22" s="532"/>
      <c r="N22" s="532"/>
      <c r="O22" s="532"/>
      <c r="P22" s="532"/>
      <c r="Q22" s="532"/>
      <c r="R22" s="532"/>
    </row>
    <row r="23" spans="1:18" hidden="1" x14ac:dyDescent="0.25">
      <c r="A23" s="537"/>
      <c r="B23" s="537"/>
      <c r="C23" s="537"/>
      <c r="D23" s="704">
        <f>D13</f>
        <v>247492</v>
      </c>
      <c r="E23" s="704"/>
      <c r="F23" s="704">
        <f>F13</f>
        <v>219826</v>
      </c>
      <c r="G23" s="704"/>
      <c r="H23" s="718"/>
      <c r="I23" s="709"/>
      <c r="J23" s="709"/>
    </row>
    <row r="24" spans="1:18" hidden="1" x14ac:dyDescent="0.25">
      <c r="A24" s="537"/>
      <c r="B24" s="537"/>
      <c r="C24" s="537"/>
      <c r="D24" s="704">
        <f>D22+D23</f>
        <v>336749</v>
      </c>
      <c r="E24" s="704"/>
      <c r="F24" s="704">
        <f>F22+F23</f>
        <v>293280</v>
      </c>
      <c r="G24" s="704"/>
      <c r="H24" s="718"/>
      <c r="I24" s="709"/>
      <c r="J24" s="709"/>
    </row>
    <row r="25" spans="1:18" x14ac:dyDescent="0.25">
      <c r="A25" s="537"/>
      <c r="B25" s="545" t="s">
        <v>670</v>
      </c>
      <c r="C25" s="532"/>
      <c r="D25" s="711">
        <f>D22/D23</f>
        <v>0.36064600067880981</v>
      </c>
      <c r="E25" s="712"/>
      <c r="F25" s="711">
        <f>F22/F23</f>
        <v>0.33414609736791828</v>
      </c>
      <c r="G25" s="712"/>
      <c r="H25" s="719"/>
      <c r="I25" s="713"/>
      <c r="J25" s="714"/>
    </row>
    <row r="26" spans="1:18" hidden="1" x14ac:dyDescent="0.25">
      <c r="A26" s="537"/>
      <c r="B26" s="537"/>
      <c r="C26" s="537"/>
      <c r="D26" s="704">
        <f>Resultados!D18</f>
        <v>74311</v>
      </c>
      <c r="E26" s="704"/>
      <c r="F26" s="704">
        <f>Resultados!F18</f>
        <v>58430</v>
      </c>
      <c r="G26" s="704"/>
      <c r="H26" s="720"/>
      <c r="I26" s="709"/>
      <c r="J26" s="709"/>
    </row>
    <row r="27" spans="1:18" x14ac:dyDescent="0.25">
      <c r="A27" s="537"/>
      <c r="B27" s="537"/>
      <c r="C27" s="537"/>
      <c r="D27" s="704"/>
      <c r="E27" s="704"/>
      <c r="F27" s="704"/>
      <c r="G27" s="704"/>
      <c r="H27" s="720"/>
      <c r="I27" s="709"/>
      <c r="J27" s="709"/>
    </row>
    <row r="28" spans="1:18" x14ac:dyDescent="0.25">
      <c r="A28" s="537"/>
      <c r="B28" s="545" t="s">
        <v>669</v>
      </c>
      <c r="C28" s="532"/>
      <c r="D28" s="711">
        <f>D22/D26</f>
        <v>1.2011276930737038</v>
      </c>
      <c r="E28" s="712"/>
      <c r="F28" s="711">
        <f>F22/F26</f>
        <v>1.2571281875748759</v>
      </c>
      <c r="G28" s="712"/>
      <c r="H28" s="719"/>
      <c r="I28" s="713"/>
      <c r="J28" s="714"/>
    </row>
  </sheetData>
  <mergeCells count="1">
    <mergeCell ref="B2:J2"/>
  </mergeCells>
  <pageMargins left="0.70866141732283472" right="0.70866141732283472" top="0.74803149606299213" bottom="0.74803149606299213" header="0.31496062992125984" footer="0.31496062992125984"/>
  <pageSetup paperSize="9" scale="14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38DD5"/>
    <pageSetUpPr fitToPage="1"/>
  </sheetPr>
  <dimension ref="B2:K153"/>
  <sheetViews>
    <sheetView showGridLines="0" workbookViewId="0">
      <selection activeCell="J23" sqref="J23"/>
    </sheetView>
  </sheetViews>
  <sheetFormatPr baseColWidth="10" defaultRowHeight="15.75" x14ac:dyDescent="0.25"/>
  <cols>
    <col min="1" max="1" width="5.75" style="368" customWidth="1"/>
    <col min="2" max="2" width="52.625" style="368" customWidth="1"/>
    <col min="3" max="3" width="11.375" style="368" customWidth="1"/>
    <col min="4" max="4" width="1" style="368" customWidth="1"/>
    <col min="5" max="5" width="11.375" style="368" customWidth="1"/>
    <col min="6" max="6" width="12.125" style="368" bestFit="1" customWidth="1"/>
    <col min="7" max="258" width="11" style="368"/>
    <col min="259" max="259" width="52.625" style="368" customWidth="1"/>
    <col min="260" max="261" width="11.375" style="368" bestFit="1" customWidth="1"/>
    <col min="262" max="262" width="12.125" style="368" bestFit="1" customWidth="1"/>
    <col min="263" max="514" width="11" style="368"/>
    <col min="515" max="515" width="52.625" style="368" customWidth="1"/>
    <col min="516" max="517" width="11.375" style="368" bestFit="1" customWidth="1"/>
    <col min="518" max="518" width="12.125" style="368" bestFit="1" customWidth="1"/>
    <col min="519" max="770" width="11" style="368"/>
    <col min="771" max="771" width="52.625" style="368" customWidth="1"/>
    <col min="772" max="773" width="11.375" style="368" bestFit="1" customWidth="1"/>
    <col min="774" max="774" width="12.125" style="368" bestFit="1" customWidth="1"/>
    <col min="775" max="1026" width="11" style="368"/>
    <col min="1027" max="1027" width="52.625" style="368" customWidth="1"/>
    <col min="1028" max="1029" width="11.375" style="368" bestFit="1" customWidth="1"/>
    <col min="1030" max="1030" width="12.125" style="368" bestFit="1" customWidth="1"/>
    <col min="1031" max="1282" width="11" style="368"/>
    <col min="1283" max="1283" width="52.625" style="368" customWidth="1"/>
    <col min="1284" max="1285" width="11.375" style="368" bestFit="1" customWidth="1"/>
    <col min="1286" max="1286" width="12.125" style="368" bestFit="1" customWidth="1"/>
    <col min="1287" max="1538" width="11" style="368"/>
    <col min="1539" max="1539" width="52.625" style="368" customWidth="1"/>
    <col min="1540" max="1541" width="11.375" style="368" bestFit="1" customWidth="1"/>
    <col min="1542" max="1542" width="12.125" style="368" bestFit="1" customWidth="1"/>
    <col min="1543" max="1794" width="11" style="368"/>
    <col min="1795" max="1795" width="52.625" style="368" customWidth="1"/>
    <col min="1796" max="1797" width="11.375" style="368" bestFit="1" customWidth="1"/>
    <col min="1798" max="1798" width="12.125" style="368" bestFit="1" customWidth="1"/>
    <col min="1799" max="2050" width="11" style="368"/>
    <col min="2051" max="2051" width="52.625" style="368" customWidth="1"/>
    <col min="2052" max="2053" width="11.375" style="368" bestFit="1" customWidth="1"/>
    <col min="2054" max="2054" width="12.125" style="368" bestFit="1" customWidth="1"/>
    <col min="2055" max="2306" width="11" style="368"/>
    <col min="2307" max="2307" width="52.625" style="368" customWidth="1"/>
    <col min="2308" max="2309" width="11.375" style="368" bestFit="1" customWidth="1"/>
    <col min="2310" max="2310" width="12.125" style="368" bestFit="1" customWidth="1"/>
    <col min="2311" max="2562" width="11" style="368"/>
    <col min="2563" max="2563" width="52.625" style="368" customWidth="1"/>
    <col min="2564" max="2565" width="11.375" style="368" bestFit="1" customWidth="1"/>
    <col min="2566" max="2566" width="12.125" style="368" bestFit="1" customWidth="1"/>
    <col min="2567" max="2818" width="11" style="368"/>
    <col min="2819" max="2819" width="52.625" style="368" customWidth="1"/>
    <col min="2820" max="2821" width="11.375" style="368" bestFit="1" customWidth="1"/>
    <col min="2822" max="2822" width="12.125" style="368" bestFit="1" customWidth="1"/>
    <col min="2823" max="3074" width="11" style="368"/>
    <col min="3075" max="3075" width="52.625" style="368" customWidth="1"/>
    <col min="3076" max="3077" width="11.375" style="368" bestFit="1" customWidth="1"/>
    <col min="3078" max="3078" width="12.125" style="368" bestFit="1" customWidth="1"/>
    <col min="3079" max="3330" width="11" style="368"/>
    <col min="3331" max="3331" width="52.625" style="368" customWidth="1"/>
    <col min="3332" max="3333" width="11.375" style="368" bestFit="1" customWidth="1"/>
    <col min="3334" max="3334" width="12.125" style="368" bestFit="1" customWidth="1"/>
    <col min="3335" max="3586" width="11" style="368"/>
    <col min="3587" max="3587" width="52.625" style="368" customWidth="1"/>
    <col min="3588" max="3589" width="11.375" style="368" bestFit="1" customWidth="1"/>
    <col min="3590" max="3590" width="12.125" style="368" bestFit="1" customWidth="1"/>
    <col min="3591" max="3842" width="11" style="368"/>
    <col min="3843" max="3843" width="52.625" style="368" customWidth="1"/>
    <col min="3844" max="3845" width="11.375" style="368" bestFit="1" customWidth="1"/>
    <col min="3846" max="3846" width="12.125" style="368" bestFit="1" customWidth="1"/>
    <col min="3847" max="4098" width="11" style="368"/>
    <col min="4099" max="4099" width="52.625" style="368" customWidth="1"/>
    <col min="4100" max="4101" width="11.375" style="368" bestFit="1" customWidth="1"/>
    <col min="4102" max="4102" width="12.125" style="368" bestFit="1" customWidth="1"/>
    <col min="4103" max="4354" width="11" style="368"/>
    <col min="4355" max="4355" width="52.625" style="368" customWidth="1"/>
    <col min="4356" max="4357" width="11.375" style="368" bestFit="1" customWidth="1"/>
    <col min="4358" max="4358" width="12.125" style="368" bestFit="1" customWidth="1"/>
    <col min="4359" max="4610" width="11" style="368"/>
    <col min="4611" max="4611" width="52.625" style="368" customWidth="1"/>
    <col min="4612" max="4613" width="11.375" style="368" bestFit="1" customWidth="1"/>
    <col min="4614" max="4614" width="12.125" style="368" bestFit="1" customWidth="1"/>
    <col min="4615" max="4866" width="11" style="368"/>
    <col min="4867" max="4867" width="52.625" style="368" customWidth="1"/>
    <col min="4868" max="4869" width="11.375" style="368" bestFit="1" customWidth="1"/>
    <col min="4870" max="4870" width="12.125" style="368" bestFit="1" customWidth="1"/>
    <col min="4871" max="5122" width="11" style="368"/>
    <col min="5123" max="5123" width="52.625" style="368" customWidth="1"/>
    <col min="5124" max="5125" width="11.375" style="368" bestFit="1" customWidth="1"/>
    <col min="5126" max="5126" width="12.125" style="368" bestFit="1" customWidth="1"/>
    <col min="5127" max="5378" width="11" style="368"/>
    <col min="5379" max="5379" width="52.625" style="368" customWidth="1"/>
    <col min="5380" max="5381" width="11.375" style="368" bestFit="1" customWidth="1"/>
    <col min="5382" max="5382" width="12.125" style="368" bestFit="1" customWidth="1"/>
    <col min="5383" max="5634" width="11" style="368"/>
    <col min="5635" max="5635" width="52.625" style="368" customWidth="1"/>
    <col min="5636" max="5637" width="11.375" style="368" bestFit="1" customWidth="1"/>
    <col min="5638" max="5638" width="12.125" style="368" bestFit="1" customWidth="1"/>
    <col min="5639" max="5890" width="11" style="368"/>
    <col min="5891" max="5891" width="52.625" style="368" customWidth="1"/>
    <col min="5892" max="5893" width="11.375" style="368" bestFit="1" customWidth="1"/>
    <col min="5894" max="5894" width="12.125" style="368" bestFit="1" customWidth="1"/>
    <col min="5895" max="6146" width="11" style="368"/>
    <col min="6147" max="6147" width="52.625" style="368" customWidth="1"/>
    <col min="6148" max="6149" width="11.375" style="368" bestFit="1" customWidth="1"/>
    <col min="6150" max="6150" width="12.125" style="368" bestFit="1" customWidth="1"/>
    <col min="6151" max="6402" width="11" style="368"/>
    <col min="6403" max="6403" width="52.625" style="368" customWidth="1"/>
    <col min="6404" max="6405" width="11.375" style="368" bestFit="1" customWidth="1"/>
    <col min="6406" max="6406" width="12.125" style="368" bestFit="1" customWidth="1"/>
    <col min="6407" max="6658" width="11" style="368"/>
    <col min="6659" max="6659" width="52.625" style="368" customWidth="1"/>
    <col min="6660" max="6661" width="11.375" style="368" bestFit="1" customWidth="1"/>
    <col min="6662" max="6662" width="12.125" style="368" bestFit="1" customWidth="1"/>
    <col min="6663" max="6914" width="11" style="368"/>
    <col min="6915" max="6915" width="52.625" style="368" customWidth="1"/>
    <col min="6916" max="6917" width="11.375" style="368" bestFit="1" customWidth="1"/>
    <col min="6918" max="6918" width="12.125" style="368" bestFit="1" customWidth="1"/>
    <col min="6919" max="7170" width="11" style="368"/>
    <col min="7171" max="7171" width="52.625" style="368" customWidth="1"/>
    <col min="7172" max="7173" width="11.375" style="368" bestFit="1" customWidth="1"/>
    <col min="7174" max="7174" width="12.125" style="368" bestFit="1" customWidth="1"/>
    <col min="7175" max="7426" width="11" style="368"/>
    <col min="7427" max="7427" width="52.625" style="368" customWidth="1"/>
    <col min="7428" max="7429" width="11.375" style="368" bestFit="1" customWidth="1"/>
    <col min="7430" max="7430" width="12.125" style="368" bestFit="1" customWidth="1"/>
    <col min="7431" max="7682" width="11" style="368"/>
    <col min="7683" max="7683" width="52.625" style="368" customWidth="1"/>
    <col min="7684" max="7685" width="11.375" style="368" bestFit="1" customWidth="1"/>
    <col min="7686" max="7686" width="12.125" style="368" bestFit="1" customWidth="1"/>
    <col min="7687" max="7938" width="11" style="368"/>
    <col min="7939" max="7939" width="52.625" style="368" customWidth="1"/>
    <col min="7940" max="7941" width="11.375" style="368" bestFit="1" customWidth="1"/>
    <col min="7942" max="7942" width="12.125" style="368" bestFit="1" customWidth="1"/>
    <col min="7943" max="8194" width="11" style="368"/>
    <col min="8195" max="8195" width="52.625" style="368" customWidth="1"/>
    <col min="8196" max="8197" width="11.375" style="368" bestFit="1" customWidth="1"/>
    <col min="8198" max="8198" width="12.125" style="368" bestFit="1" customWidth="1"/>
    <col min="8199" max="8450" width="11" style="368"/>
    <col min="8451" max="8451" width="52.625" style="368" customWidth="1"/>
    <col min="8452" max="8453" width="11.375" style="368" bestFit="1" customWidth="1"/>
    <col min="8454" max="8454" width="12.125" style="368" bestFit="1" customWidth="1"/>
    <col min="8455" max="8706" width="11" style="368"/>
    <col min="8707" max="8707" width="52.625" style="368" customWidth="1"/>
    <col min="8708" max="8709" width="11.375" style="368" bestFit="1" customWidth="1"/>
    <col min="8710" max="8710" width="12.125" style="368" bestFit="1" customWidth="1"/>
    <col min="8711" max="8962" width="11" style="368"/>
    <col min="8963" max="8963" width="52.625" style="368" customWidth="1"/>
    <col min="8964" max="8965" width="11.375" style="368" bestFit="1" customWidth="1"/>
    <col min="8966" max="8966" width="12.125" style="368" bestFit="1" customWidth="1"/>
    <col min="8967" max="9218" width="11" style="368"/>
    <col min="9219" max="9219" width="52.625" style="368" customWidth="1"/>
    <col min="9220" max="9221" width="11.375" style="368" bestFit="1" customWidth="1"/>
    <col min="9222" max="9222" width="12.125" style="368" bestFit="1" customWidth="1"/>
    <col min="9223" max="9474" width="11" style="368"/>
    <col min="9475" max="9475" width="52.625" style="368" customWidth="1"/>
    <col min="9476" max="9477" width="11.375" style="368" bestFit="1" customWidth="1"/>
    <col min="9478" max="9478" width="12.125" style="368" bestFit="1" customWidth="1"/>
    <col min="9479" max="9730" width="11" style="368"/>
    <col min="9731" max="9731" width="52.625" style="368" customWidth="1"/>
    <col min="9732" max="9733" width="11.375" style="368" bestFit="1" customWidth="1"/>
    <col min="9734" max="9734" width="12.125" style="368" bestFit="1" customWidth="1"/>
    <col min="9735" max="9986" width="11" style="368"/>
    <col min="9987" max="9987" width="52.625" style="368" customWidth="1"/>
    <col min="9988" max="9989" width="11.375" style="368" bestFit="1" customWidth="1"/>
    <col min="9990" max="9990" width="12.125" style="368" bestFit="1" customWidth="1"/>
    <col min="9991" max="10242" width="11" style="368"/>
    <col min="10243" max="10243" width="52.625" style="368" customWidth="1"/>
    <col min="10244" max="10245" width="11.375" style="368" bestFit="1" customWidth="1"/>
    <col min="10246" max="10246" width="12.125" style="368" bestFit="1" customWidth="1"/>
    <col min="10247" max="10498" width="11" style="368"/>
    <col min="10499" max="10499" width="52.625" style="368" customWidth="1"/>
    <col min="10500" max="10501" width="11.375" style="368" bestFit="1" customWidth="1"/>
    <col min="10502" max="10502" width="12.125" style="368" bestFit="1" customWidth="1"/>
    <col min="10503" max="10754" width="11" style="368"/>
    <col min="10755" max="10755" width="52.625" style="368" customWidth="1"/>
    <col min="10756" max="10757" width="11.375" style="368" bestFit="1" customWidth="1"/>
    <col min="10758" max="10758" width="12.125" style="368" bestFit="1" customWidth="1"/>
    <col min="10759" max="11010" width="11" style="368"/>
    <col min="11011" max="11011" width="52.625" style="368" customWidth="1"/>
    <col min="11012" max="11013" width="11.375" style="368" bestFit="1" customWidth="1"/>
    <col min="11014" max="11014" width="12.125" style="368" bestFit="1" customWidth="1"/>
    <col min="11015" max="11266" width="11" style="368"/>
    <col min="11267" max="11267" width="52.625" style="368" customWidth="1"/>
    <col min="11268" max="11269" width="11.375" style="368" bestFit="1" customWidth="1"/>
    <col min="11270" max="11270" width="12.125" style="368" bestFit="1" customWidth="1"/>
    <col min="11271" max="11522" width="11" style="368"/>
    <col min="11523" max="11523" width="52.625" style="368" customWidth="1"/>
    <col min="11524" max="11525" width="11.375" style="368" bestFit="1" customWidth="1"/>
    <col min="11526" max="11526" width="12.125" style="368" bestFit="1" customWidth="1"/>
    <col min="11527" max="11778" width="11" style="368"/>
    <col min="11779" max="11779" width="52.625" style="368" customWidth="1"/>
    <col min="11780" max="11781" width="11.375" style="368" bestFit="1" customWidth="1"/>
    <col min="11782" max="11782" width="12.125" style="368" bestFit="1" customWidth="1"/>
    <col min="11783" max="12034" width="11" style="368"/>
    <col min="12035" max="12035" width="52.625" style="368" customWidth="1"/>
    <col min="12036" max="12037" width="11.375" style="368" bestFit="1" customWidth="1"/>
    <col min="12038" max="12038" width="12.125" style="368" bestFit="1" customWidth="1"/>
    <col min="12039" max="12290" width="11" style="368"/>
    <col min="12291" max="12291" width="52.625" style="368" customWidth="1"/>
    <col min="12292" max="12293" width="11.375" style="368" bestFit="1" customWidth="1"/>
    <col min="12294" max="12294" width="12.125" style="368" bestFit="1" customWidth="1"/>
    <col min="12295" max="12546" width="11" style="368"/>
    <col min="12547" max="12547" width="52.625" style="368" customWidth="1"/>
    <col min="12548" max="12549" width="11.375" style="368" bestFit="1" customWidth="1"/>
    <col min="12550" max="12550" width="12.125" style="368" bestFit="1" customWidth="1"/>
    <col min="12551" max="12802" width="11" style="368"/>
    <col min="12803" max="12803" width="52.625" style="368" customWidth="1"/>
    <col min="12804" max="12805" width="11.375" style="368" bestFit="1" customWidth="1"/>
    <col min="12806" max="12806" width="12.125" style="368" bestFit="1" customWidth="1"/>
    <col min="12807" max="13058" width="11" style="368"/>
    <col min="13059" max="13059" width="52.625" style="368" customWidth="1"/>
    <col min="13060" max="13061" width="11.375" style="368" bestFit="1" customWidth="1"/>
    <col min="13062" max="13062" width="12.125" style="368" bestFit="1" customWidth="1"/>
    <col min="13063" max="13314" width="11" style="368"/>
    <col min="13315" max="13315" width="52.625" style="368" customWidth="1"/>
    <col min="13316" max="13317" width="11.375" style="368" bestFit="1" customWidth="1"/>
    <col min="13318" max="13318" width="12.125" style="368" bestFit="1" customWidth="1"/>
    <col min="13319" max="13570" width="11" style="368"/>
    <col min="13571" max="13571" width="52.625" style="368" customWidth="1"/>
    <col min="13572" max="13573" width="11.375" style="368" bestFit="1" customWidth="1"/>
    <col min="13574" max="13574" width="12.125" style="368" bestFit="1" customWidth="1"/>
    <col min="13575" max="13826" width="11" style="368"/>
    <col min="13827" max="13827" width="52.625" style="368" customWidth="1"/>
    <col min="13828" max="13829" width="11.375" style="368" bestFit="1" customWidth="1"/>
    <col min="13830" max="13830" width="12.125" style="368" bestFit="1" customWidth="1"/>
    <col min="13831" max="14082" width="11" style="368"/>
    <col min="14083" max="14083" width="52.625" style="368" customWidth="1"/>
    <col min="14084" max="14085" width="11.375" style="368" bestFit="1" customWidth="1"/>
    <col min="14086" max="14086" width="12.125" style="368" bestFit="1" customWidth="1"/>
    <col min="14087" max="14338" width="11" style="368"/>
    <col min="14339" max="14339" width="52.625" style="368" customWidth="1"/>
    <col min="14340" max="14341" width="11.375" style="368" bestFit="1" customWidth="1"/>
    <col min="14342" max="14342" width="12.125" style="368" bestFit="1" customWidth="1"/>
    <col min="14343" max="14594" width="11" style="368"/>
    <col min="14595" max="14595" width="52.625" style="368" customWidth="1"/>
    <col min="14596" max="14597" width="11.375" style="368" bestFit="1" customWidth="1"/>
    <col min="14598" max="14598" width="12.125" style="368" bestFit="1" customWidth="1"/>
    <col min="14599" max="14850" width="11" style="368"/>
    <col min="14851" max="14851" width="52.625" style="368" customWidth="1"/>
    <col min="14852" max="14853" width="11.375" style="368" bestFit="1" customWidth="1"/>
    <col min="14854" max="14854" width="12.125" style="368" bestFit="1" customWidth="1"/>
    <col min="14855" max="15106" width="11" style="368"/>
    <col min="15107" max="15107" width="52.625" style="368" customWidth="1"/>
    <col min="15108" max="15109" width="11.375" style="368" bestFit="1" customWidth="1"/>
    <col min="15110" max="15110" width="12.125" style="368" bestFit="1" customWidth="1"/>
    <col min="15111" max="15362" width="11" style="368"/>
    <col min="15363" max="15363" width="52.625" style="368" customWidth="1"/>
    <col min="15364" max="15365" width="11.375" style="368" bestFit="1" customWidth="1"/>
    <col min="15366" max="15366" width="12.125" style="368" bestFit="1" customWidth="1"/>
    <col min="15367" max="15618" width="11" style="368"/>
    <col min="15619" max="15619" width="52.625" style="368" customWidth="1"/>
    <col min="15620" max="15621" width="11.375" style="368" bestFit="1" customWidth="1"/>
    <col min="15622" max="15622" width="12.125" style="368" bestFit="1" customWidth="1"/>
    <col min="15623" max="15874" width="11" style="368"/>
    <col min="15875" max="15875" width="52.625" style="368" customWidth="1"/>
    <col min="15876" max="15877" width="11.375" style="368" bestFit="1" customWidth="1"/>
    <col min="15878" max="15878" width="12.125" style="368" bestFit="1" customWidth="1"/>
    <col min="15879" max="16130" width="11" style="368"/>
    <col min="16131" max="16131" width="52.625" style="368" customWidth="1"/>
    <col min="16132" max="16133" width="11.375" style="368" bestFit="1" customWidth="1"/>
    <col min="16134" max="16134" width="12.125" style="368" bestFit="1" customWidth="1"/>
    <col min="16135" max="16384" width="11" style="368"/>
  </cols>
  <sheetData>
    <row r="2" spans="2:11" ht="18.75" x14ac:dyDescent="0.25">
      <c r="B2" s="748" t="s">
        <v>587</v>
      </c>
      <c r="C2" s="748"/>
      <c r="D2" s="748"/>
      <c r="E2" s="748"/>
    </row>
    <row r="3" spans="2:11" ht="18.75" x14ac:dyDescent="0.3">
      <c r="B3" s="552"/>
      <c r="C3" s="552"/>
      <c r="D3" s="552"/>
      <c r="E3" s="552"/>
    </row>
    <row r="4" spans="2:11" ht="31.5" x14ac:dyDescent="0.25">
      <c r="B4" s="553"/>
      <c r="C4" s="341" t="s">
        <v>275</v>
      </c>
      <c r="D4" s="372"/>
      <c r="E4" s="341" t="s">
        <v>13</v>
      </c>
    </row>
    <row r="5" spans="2:11" x14ac:dyDescent="0.25">
      <c r="B5" s="553"/>
      <c r="C5" s="554"/>
      <c r="D5" s="554"/>
      <c r="E5" s="554"/>
    </row>
    <row r="6" spans="2:11" x14ac:dyDescent="0.25">
      <c r="B6" s="556" t="s">
        <v>273</v>
      </c>
      <c r="C6" s="721"/>
      <c r="D6" s="691"/>
      <c r="E6" s="721"/>
    </row>
    <row r="7" spans="2:11" x14ac:dyDescent="0.25">
      <c r="B7" s="554" t="s">
        <v>330</v>
      </c>
      <c r="C7" s="722"/>
      <c r="D7" s="722"/>
      <c r="E7" s="722"/>
    </row>
    <row r="8" spans="2:11" x14ac:dyDescent="0.25">
      <c r="B8" s="555" t="s">
        <v>331</v>
      </c>
      <c r="C8" s="686">
        <v>0.36</v>
      </c>
      <c r="D8" s="686"/>
      <c r="E8" s="686">
        <f>[1]Balance!E14/[1]Balance!E8</f>
        <v>0.33414609736791828</v>
      </c>
    </row>
    <row r="9" spans="2:11" x14ac:dyDescent="0.25">
      <c r="B9" s="555" t="s">
        <v>332</v>
      </c>
      <c r="C9" s="686">
        <f>[2]Balance!D9/'[2]P&amp;G'!B16</f>
        <v>1.2011276930737038</v>
      </c>
      <c r="D9" s="686"/>
      <c r="E9" s="686">
        <f>[2]Balance!E9/'[2]P&amp;G'!C16</f>
        <v>1.2571281875748759</v>
      </c>
    </row>
    <row r="10" spans="2:11" x14ac:dyDescent="0.25">
      <c r="B10" s="554" t="s">
        <v>272</v>
      </c>
      <c r="C10" s="686">
        <f>248732/244167</f>
        <v>1.0186962202099383</v>
      </c>
      <c r="D10" s="686"/>
      <c r="E10" s="686">
        <f>254561/216057</f>
        <v>1.1782122310316259</v>
      </c>
    </row>
    <row r="11" spans="2:11" x14ac:dyDescent="0.25">
      <c r="B11" s="554" t="s">
        <v>333</v>
      </c>
      <c r="C11" s="686">
        <f>(247492+107514)/350441</f>
        <v>1.0130264438236394</v>
      </c>
      <c r="D11" s="686"/>
      <c r="E11" s="686">
        <f>(219826+124298)/305620</f>
        <v>1.1259865192068581</v>
      </c>
      <c r="F11" s="546"/>
    </row>
    <row r="12" spans="2:11" x14ac:dyDescent="0.25">
      <c r="B12" s="554" t="s">
        <v>271</v>
      </c>
      <c r="C12" s="723">
        <v>14.19</v>
      </c>
      <c r="D12" s="723"/>
      <c r="E12" s="686">
        <v>11.55</v>
      </c>
      <c r="F12" s="547"/>
      <c r="G12" s="548"/>
      <c r="K12" s="547"/>
    </row>
    <row r="13" spans="2:11" x14ac:dyDescent="0.25">
      <c r="B13" s="554" t="s">
        <v>270</v>
      </c>
      <c r="C13" s="686">
        <f>((123040+102135)/2)/(685970)*365</f>
        <v>59.907047684301062</v>
      </c>
      <c r="D13" s="686"/>
      <c r="E13" s="686">
        <f>((102135+113499)/2)/(602543)*365</f>
        <v>65.311861560087834</v>
      </c>
      <c r="F13" s="547"/>
    </row>
    <row r="14" spans="2:11" x14ac:dyDescent="0.25">
      <c r="B14" s="554" t="s">
        <v>269</v>
      </c>
      <c r="C14" s="722">
        <v>49.11</v>
      </c>
      <c r="D14" s="722"/>
      <c r="E14" s="722">
        <v>62.31</v>
      </c>
      <c r="F14" s="547"/>
    </row>
    <row r="15" spans="2:11" x14ac:dyDescent="0.25">
      <c r="B15" s="554"/>
      <c r="C15" s="722"/>
      <c r="D15" s="722"/>
      <c r="E15" s="722"/>
    </row>
    <row r="16" spans="2:11" x14ac:dyDescent="0.25">
      <c r="B16" s="556" t="s">
        <v>268</v>
      </c>
      <c r="C16" s="721"/>
      <c r="D16" s="691"/>
      <c r="E16" s="721"/>
      <c r="G16" s="549"/>
    </row>
    <row r="17" spans="2:11" x14ac:dyDescent="0.25">
      <c r="B17" s="554" t="s">
        <v>334</v>
      </c>
      <c r="C17" s="724">
        <v>2010</v>
      </c>
      <c r="D17" s="724"/>
      <c r="E17" s="724">
        <v>2097</v>
      </c>
    </row>
    <row r="18" spans="2:11" x14ac:dyDescent="0.25">
      <c r="B18" s="554" t="s">
        <v>338</v>
      </c>
      <c r="C18" s="724">
        <f>74311+83387</f>
        <v>157698</v>
      </c>
      <c r="D18" s="724"/>
      <c r="E18" s="724">
        <f>58430+81822</f>
        <v>140252</v>
      </c>
    </row>
    <row r="19" spans="2:11" x14ac:dyDescent="0.25">
      <c r="B19" s="554" t="s">
        <v>267</v>
      </c>
      <c r="C19" s="724">
        <v>114920</v>
      </c>
      <c r="D19" s="725"/>
      <c r="E19" s="724">
        <v>103355</v>
      </c>
      <c r="F19" s="549"/>
      <c r="G19" s="547"/>
    </row>
    <row r="20" spans="2:11" x14ac:dyDescent="0.25">
      <c r="B20" s="554" t="s">
        <v>266</v>
      </c>
      <c r="C20" s="686">
        <f>((694037-316581)/694037)*100</f>
        <v>54.385573103451257</v>
      </c>
      <c r="D20" s="686"/>
      <c r="E20" s="686">
        <f>((619589-270215)/619589)*100</f>
        <v>56.388024964936434</v>
      </c>
    </row>
    <row r="21" spans="2:11" x14ac:dyDescent="0.25">
      <c r="B21" s="554" t="s">
        <v>337</v>
      </c>
      <c r="C21" s="686">
        <f>74311/685970*100</f>
        <v>10.832981034156013</v>
      </c>
      <c r="D21" s="686"/>
      <c r="E21" s="686">
        <f>58430/602543*100</f>
        <v>9.697233226508315</v>
      </c>
    </row>
    <row r="22" spans="2:11" x14ac:dyDescent="0.25">
      <c r="B22" s="554"/>
      <c r="C22" s="722"/>
      <c r="D22" s="722"/>
      <c r="E22" s="722"/>
    </row>
    <row r="23" spans="2:11" x14ac:dyDescent="0.25">
      <c r="B23" s="556" t="s">
        <v>265</v>
      </c>
      <c r="C23" s="721"/>
      <c r="D23" s="691"/>
      <c r="E23" s="721"/>
    </row>
    <row r="24" spans="2:11" x14ac:dyDescent="0.25">
      <c r="B24" s="554" t="s">
        <v>264</v>
      </c>
      <c r="C24" s="722">
        <v>2.86</v>
      </c>
      <c r="D24" s="722"/>
      <c r="E24" s="722">
        <v>1.84</v>
      </c>
    </row>
    <row r="25" spans="2:11" x14ac:dyDescent="0.25">
      <c r="B25" s="554" t="s">
        <v>335</v>
      </c>
      <c r="C25" s="724">
        <v>317402</v>
      </c>
      <c r="D25" s="724"/>
      <c r="E25" s="724">
        <v>209919</v>
      </c>
    </row>
    <row r="26" spans="2:11" x14ac:dyDescent="0.25">
      <c r="B26" s="554" t="s">
        <v>263</v>
      </c>
      <c r="C26" s="726">
        <v>0.39629999999999999</v>
      </c>
      <c r="D26" s="726"/>
      <c r="E26" s="727">
        <v>0.39589999999999997</v>
      </c>
      <c r="F26" s="549"/>
      <c r="G26" s="550"/>
    </row>
    <row r="27" spans="2:11" x14ac:dyDescent="0.25">
      <c r="B27" s="554" t="s">
        <v>262</v>
      </c>
      <c r="C27" s="686">
        <v>0.39</v>
      </c>
      <c r="D27" s="686"/>
      <c r="E27" s="686">
        <v>0.33</v>
      </c>
      <c r="J27" s="547"/>
      <c r="K27" s="547"/>
    </row>
    <row r="28" spans="2:11" x14ac:dyDescent="0.25">
      <c r="B28" s="554" t="s">
        <v>261</v>
      </c>
      <c r="C28" s="686">
        <v>7.22</v>
      </c>
      <c r="D28" s="686"/>
      <c r="E28" s="686">
        <f>209919/45165</f>
        <v>4.6478246429757553</v>
      </c>
      <c r="F28" s="549"/>
      <c r="G28" s="550"/>
    </row>
    <row r="29" spans="2:11" x14ac:dyDescent="0.25">
      <c r="B29" s="554" t="s">
        <v>31</v>
      </c>
      <c r="C29" s="686">
        <v>1.2824737769301633</v>
      </c>
      <c r="D29" s="686"/>
      <c r="E29" s="686">
        <f>209919/219826</f>
        <v>0.9549325375524278</v>
      </c>
    </row>
    <row r="30" spans="2:11" x14ac:dyDescent="0.25">
      <c r="B30" s="554"/>
      <c r="C30" s="722"/>
      <c r="D30" s="722"/>
      <c r="E30" s="722"/>
    </row>
    <row r="31" spans="2:11" x14ac:dyDescent="0.25">
      <c r="B31" s="556" t="s">
        <v>260</v>
      </c>
      <c r="C31" s="721"/>
      <c r="D31" s="691"/>
      <c r="E31" s="721"/>
    </row>
    <row r="32" spans="2:11" x14ac:dyDescent="0.25">
      <c r="B32" s="554" t="s">
        <v>259</v>
      </c>
      <c r="C32" s="691">
        <v>2.5099999999999998</v>
      </c>
      <c r="D32" s="691"/>
      <c r="E32" s="691">
        <v>2.97</v>
      </c>
    </row>
    <row r="33" spans="2:11" x14ac:dyDescent="0.25">
      <c r="B33" s="554" t="s">
        <v>664</v>
      </c>
      <c r="C33" s="691">
        <v>3.11</v>
      </c>
      <c r="D33" s="691"/>
      <c r="E33" s="691">
        <v>4.8499999999999996</v>
      </c>
    </row>
    <row r="34" spans="2:11" x14ac:dyDescent="0.25">
      <c r="B34" s="554" t="s">
        <v>258</v>
      </c>
      <c r="C34" s="691">
        <v>4.87</v>
      </c>
      <c r="D34" s="691"/>
      <c r="E34" s="687">
        <v>4.5</v>
      </c>
      <c r="J34" s="547"/>
      <c r="K34" s="547"/>
    </row>
    <row r="35" spans="2:11" x14ac:dyDescent="0.25">
      <c r="B35" s="554" t="s">
        <v>257</v>
      </c>
      <c r="C35" s="728">
        <v>953</v>
      </c>
      <c r="D35" s="728"/>
      <c r="E35" s="728">
        <v>1060</v>
      </c>
    </row>
    <row r="36" spans="2:11" ht="20.25" x14ac:dyDescent="0.25">
      <c r="B36" s="554" t="s">
        <v>671</v>
      </c>
      <c r="C36" s="729">
        <v>597</v>
      </c>
      <c r="D36" s="729"/>
      <c r="E36" s="729">
        <v>595</v>
      </c>
    </row>
    <row r="37" spans="2:11" x14ac:dyDescent="0.25">
      <c r="B37" s="554" t="s">
        <v>256</v>
      </c>
      <c r="C37" s="691">
        <v>100</v>
      </c>
      <c r="D37" s="691"/>
      <c r="E37" s="691">
        <v>100</v>
      </c>
    </row>
    <row r="38" spans="2:11" x14ac:dyDescent="0.25">
      <c r="B38" s="554" t="s">
        <v>255</v>
      </c>
      <c r="C38" s="691">
        <v>100</v>
      </c>
      <c r="D38" s="691"/>
      <c r="E38" s="691">
        <v>100</v>
      </c>
    </row>
    <row r="39" spans="2:11" x14ac:dyDescent="0.25">
      <c r="B39" s="554" t="s">
        <v>254</v>
      </c>
      <c r="C39" s="691">
        <v>100</v>
      </c>
      <c r="D39" s="691"/>
      <c r="E39" s="691">
        <v>100</v>
      </c>
    </row>
    <row r="40" spans="2:11" x14ac:dyDescent="0.25">
      <c r="G40" s="551"/>
    </row>
    <row r="41" spans="2:11" ht="20.25" x14ac:dyDescent="0.35">
      <c r="B41" s="374" t="s">
        <v>672</v>
      </c>
    </row>
    <row r="42" spans="2:11" x14ac:dyDescent="0.25">
      <c r="B42" s="328"/>
    </row>
    <row r="44" spans="2:11" x14ac:dyDescent="0.25">
      <c r="B44" s="557" t="s">
        <v>588</v>
      </c>
    </row>
    <row r="45" spans="2:11" x14ac:dyDescent="0.25">
      <c r="B45" s="558"/>
    </row>
    <row r="46" spans="2:11" x14ac:dyDescent="0.25">
      <c r="B46" s="747" t="s">
        <v>673</v>
      </c>
      <c r="C46" s="747"/>
      <c r="D46" s="747"/>
      <c r="E46" s="747"/>
      <c r="F46" s="747"/>
      <c r="G46" s="747"/>
      <c r="H46" s="747"/>
      <c r="I46" s="747"/>
    </row>
    <row r="47" spans="2:11" x14ac:dyDescent="0.25">
      <c r="B47" s="749" t="s">
        <v>674</v>
      </c>
      <c r="C47" s="749"/>
      <c r="D47" s="749"/>
      <c r="E47" s="749"/>
      <c r="F47" s="749"/>
      <c r="G47" s="749"/>
      <c r="H47" s="749"/>
      <c r="I47" s="749"/>
    </row>
    <row r="48" spans="2:11" x14ac:dyDescent="0.25">
      <c r="B48" s="749" t="s">
        <v>676</v>
      </c>
      <c r="C48" s="749"/>
      <c r="D48" s="749"/>
      <c r="E48" s="749"/>
      <c r="F48" s="749"/>
      <c r="G48" s="749"/>
      <c r="H48" s="749"/>
      <c r="I48" s="749"/>
    </row>
    <row r="49" spans="2:9" x14ac:dyDescent="0.25">
      <c r="B49" s="749"/>
      <c r="C49" s="749"/>
      <c r="D49" s="749"/>
      <c r="E49" s="749"/>
      <c r="F49" s="749"/>
      <c r="G49" s="749"/>
      <c r="H49" s="749"/>
      <c r="I49" s="749"/>
    </row>
    <row r="50" spans="2:9" x14ac:dyDescent="0.25">
      <c r="B50" s="747" t="s">
        <v>592</v>
      </c>
      <c r="C50" s="747"/>
      <c r="D50" s="747"/>
      <c r="E50" s="747"/>
      <c r="F50" s="747"/>
      <c r="G50" s="747"/>
      <c r="H50" s="747"/>
      <c r="I50" s="747"/>
    </row>
    <row r="51" spans="2:9" x14ac:dyDescent="0.25">
      <c r="B51" s="749" t="s">
        <v>675</v>
      </c>
      <c r="C51" s="749"/>
      <c r="D51" s="749"/>
      <c r="E51" s="749"/>
      <c r="F51" s="749"/>
      <c r="G51" s="749"/>
      <c r="H51" s="749"/>
      <c r="I51" s="749"/>
    </row>
    <row r="52" spans="2:9" x14ac:dyDescent="0.25">
      <c r="B52" s="749" t="s">
        <v>594</v>
      </c>
      <c r="C52" s="749"/>
      <c r="D52" s="749"/>
      <c r="E52" s="749"/>
      <c r="F52" s="749"/>
      <c r="G52" s="749"/>
      <c r="H52" s="749"/>
      <c r="I52" s="749"/>
    </row>
    <row r="53" spans="2:9" x14ac:dyDescent="0.25">
      <c r="B53" s="626"/>
      <c r="C53" s="626"/>
      <c r="D53" s="626"/>
      <c r="E53" s="626"/>
      <c r="F53" s="626"/>
      <c r="G53" s="626"/>
      <c r="H53" s="626"/>
      <c r="I53" s="626"/>
    </row>
    <row r="54" spans="2:9" x14ac:dyDescent="0.25">
      <c r="B54" s="747" t="s">
        <v>589</v>
      </c>
      <c r="C54" s="747"/>
      <c r="D54" s="747"/>
      <c r="E54" s="747"/>
      <c r="F54" s="747"/>
      <c r="G54" s="747"/>
      <c r="H54" s="747"/>
      <c r="I54" s="747"/>
    </row>
    <row r="55" spans="2:9" x14ac:dyDescent="0.25">
      <c r="B55" s="747" t="s">
        <v>590</v>
      </c>
      <c r="C55" s="747"/>
      <c r="D55" s="747"/>
      <c r="E55" s="747"/>
      <c r="F55" s="747"/>
      <c r="G55" s="747"/>
      <c r="H55" s="747"/>
      <c r="I55" s="747"/>
    </row>
    <row r="56" spans="2:9" x14ac:dyDescent="0.25">
      <c r="B56" s="747" t="s">
        <v>591</v>
      </c>
      <c r="C56" s="747"/>
      <c r="D56" s="747"/>
      <c r="E56" s="747"/>
      <c r="F56" s="747"/>
      <c r="G56" s="747"/>
      <c r="H56" s="747"/>
      <c r="I56" s="747"/>
    </row>
    <row r="57" spans="2:9" x14ac:dyDescent="0.25">
      <c r="B57" s="747"/>
      <c r="C57" s="747"/>
      <c r="D57" s="747"/>
      <c r="E57" s="747"/>
      <c r="F57" s="747"/>
      <c r="G57" s="747"/>
      <c r="H57" s="747"/>
      <c r="I57" s="747"/>
    </row>
    <row r="58" spans="2:9" x14ac:dyDescent="0.25">
      <c r="B58" s="747" t="s">
        <v>677</v>
      </c>
      <c r="C58" s="747"/>
      <c r="D58" s="747"/>
      <c r="E58" s="747"/>
      <c r="F58" s="747"/>
      <c r="G58" s="747"/>
      <c r="H58" s="747"/>
      <c r="I58" s="747"/>
    </row>
    <row r="59" spans="2:9" x14ac:dyDescent="0.25">
      <c r="B59" s="749" t="s">
        <v>678</v>
      </c>
      <c r="C59" s="747"/>
      <c r="D59" s="747"/>
      <c r="E59" s="747"/>
      <c r="F59" s="747"/>
      <c r="G59" s="747"/>
      <c r="H59" s="747"/>
      <c r="I59" s="747"/>
    </row>
    <row r="60" spans="2:9" x14ac:dyDescent="0.25">
      <c r="B60" s="747" t="s">
        <v>593</v>
      </c>
      <c r="C60" s="747"/>
      <c r="D60" s="747"/>
      <c r="E60" s="747"/>
      <c r="F60" s="747"/>
      <c r="G60" s="747"/>
      <c r="H60" s="747"/>
      <c r="I60" s="747"/>
    </row>
    <row r="61" spans="2:9" x14ac:dyDescent="0.25">
      <c r="B61" s="747"/>
      <c r="C61" s="747"/>
      <c r="D61" s="747"/>
      <c r="E61" s="747"/>
      <c r="F61" s="747"/>
      <c r="G61" s="747"/>
      <c r="H61" s="747"/>
      <c r="I61" s="747"/>
    </row>
    <row r="62" spans="2:9" x14ac:dyDescent="0.25">
      <c r="B62" s="747" t="s">
        <v>595</v>
      </c>
      <c r="C62" s="747"/>
      <c r="D62" s="747"/>
      <c r="E62" s="747"/>
      <c r="F62" s="747"/>
      <c r="G62" s="747"/>
      <c r="H62" s="747"/>
      <c r="I62" s="747"/>
    </row>
    <row r="63" spans="2:9" x14ac:dyDescent="0.25">
      <c r="B63" s="749" t="s">
        <v>679</v>
      </c>
      <c r="C63" s="747"/>
      <c r="D63" s="747"/>
      <c r="E63" s="747"/>
      <c r="F63" s="747"/>
      <c r="G63" s="747"/>
      <c r="H63" s="747"/>
      <c r="I63" s="747"/>
    </row>
    <row r="64" spans="2:9" x14ac:dyDescent="0.25">
      <c r="B64" s="749" t="s">
        <v>680</v>
      </c>
      <c r="C64" s="747"/>
      <c r="D64" s="747"/>
      <c r="E64" s="747"/>
      <c r="F64" s="747"/>
      <c r="G64" s="747"/>
      <c r="H64" s="747"/>
      <c r="I64" s="747"/>
    </row>
    <row r="65" spans="2:9" x14ac:dyDescent="0.25">
      <c r="B65" s="747"/>
      <c r="C65" s="747"/>
      <c r="D65" s="747"/>
      <c r="E65" s="747"/>
      <c r="F65" s="747"/>
      <c r="G65" s="747"/>
      <c r="H65" s="747"/>
      <c r="I65" s="747"/>
    </row>
    <row r="66" spans="2:9" x14ac:dyDescent="0.25">
      <c r="B66" s="747" t="s">
        <v>596</v>
      </c>
      <c r="C66" s="747"/>
      <c r="D66" s="747"/>
      <c r="E66" s="747"/>
      <c r="F66" s="747"/>
      <c r="G66" s="747"/>
      <c r="H66" s="747"/>
      <c r="I66" s="747"/>
    </row>
    <row r="67" spans="2:9" x14ac:dyDescent="0.25">
      <c r="B67" s="747" t="s">
        <v>597</v>
      </c>
      <c r="C67" s="747"/>
      <c r="D67" s="747"/>
      <c r="E67" s="747"/>
      <c r="F67" s="747"/>
      <c r="G67" s="747"/>
      <c r="H67" s="747"/>
      <c r="I67" s="747"/>
    </row>
    <row r="68" spans="2:9" x14ac:dyDescent="0.25">
      <c r="B68" s="747" t="s">
        <v>598</v>
      </c>
      <c r="C68" s="747"/>
      <c r="D68" s="747"/>
      <c r="E68" s="747"/>
      <c r="F68" s="747"/>
      <c r="G68" s="747"/>
      <c r="H68" s="747"/>
      <c r="I68" s="747"/>
    </row>
    <row r="69" spans="2:9" x14ac:dyDescent="0.25">
      <c r="B69" s="747"/>
      <c r="C69" s="747"/>
      <c r="D69" s="747"/>
      <c r="E69" s="747"/>
      <c r="F69" s="747"/>
      <c r="G69" s="747"/>
      <c r="H69" s="747"/>
      <c r="I69" s="747"/>
    </row>
    <row r="70" spans="2:9" x14ac:dyDescent="0.25">
      <c r="B70" s="747" t="s">
        <v>599</v>
      </c>
      <c r="C70" s="747"/>
      <c r="D70" s="747"/>
      <c r="E70" s="747"/>
      <c r="F70" s="747"/>
      <c r="G70" s="747"/>
      <c r="H70" s="747"/>
      <c r="I70" s="747"/>
    </row>
    <row r="71" spans="2:9" x14ac:dyDescent="0.25">
      <c r="B71" s="747" t="s">
        <v>600</v>
      </c>
      <c r="C71" s="747"/>
      <c r="D71" s="747"/>
      <c r="E71" s="747"/>
      <c r="F71" s="747"/>
      <c r="G71" s="747"/>
      <c r="H71" s="747"/>
      <c r="I71" s="747"/>
    </row>
    <row r="72" spans="2:9" x14ac:dyDescent="0.25">
      <c r="B72" s="747" t="s">
        <v>601</v>
      </c>
      <c r="C72" s="747"/>
      <c r="D72" s="747"/>
      <c r="E72" s="747"/>
      <c r="F72" s="747"/>
      <c r="G72" s="747"/>
      <c r="H72" s="747"/>
      <c r="I72" s="747"/>
    </row>
    <row r="73" spans="2:9" x14ac:dyDescent="0.25">
      <c r="B73" s="747"/>
      <c r="C73" s="747"/>
      <c r="D73" s="747"/>
      <c r="E73" s="747"/>
      <c r="F73" s="747"/>
      <c r="G73" s="747"/>
      <c r="H73" s="747"/>
      <c r="I73" s="747"/>
    </row>
    <row r="74" spans="2:9" x14ac:dyDescent="0.25">
      <c r="B74" s="747" t="s">
        <v>602</v>
      </c>
      <c r="C74" s="747"/>
      <c r="D74" s="747"/>
      <c r="E74" s="747"/>
      <c r="F74" s="747"/>
      <c r="G74" s="747"/>
      <c r="H74" s="747"/>
      <c r="I74" s="747"/>
    </row>
    <row r="75" spans="2:9" x14ac:dyDescent="0.25">
      <c r="B75" s="747" t="s">
        <v>603</v>
      </c>
      <c r="C75" s="747"/>
      <c r="D75" s="747"/>
      <c r="E75" s="747"/>
      <c r="F75" s="747"/>
      <c r="G75" s="747"/>
      <c r="H75" s="747"/>
      <c r="I75" s="747"/>
    </row>
    <row r="76" spans="2:9" x14ac:dyDescent="0.25">
      <c r="B76" s="747" t="s">
        <v>604</v>
      </c>
      <c r="C76" s="747"/>
      <c r="D76" s="747"/>
      <c r="E76" s="747"/>
      <c r="F76" s="747"/>
      <c r="G76" s="747"/>
      <c r="H76" s="747"/>
      <c r="I76" s="747"/>
    </row>
    <row r="77" spans="2:9" x14ac:dyDescent="0.25">
      <c r="B77" s="747"/>
      <c r="C77" s="747"/>
      <c r="D77" s="747"/>
      <c r="E77" s="747"/>
      <c r="F77" s="747"/>
      <c r="G77" s="747"/>
      <c r="H77" s="747"/>
      <c r="I77" s="747"/>
    </row>
    <row r="78" spans="2:9" x14ac:dyDescent="0.25">
      <c r="B78" s="747" t="s">
        <v>605</v>
      </c>
      <c r="C78" s="747"/>
      <c r="D78" s="747"/>
      <c r="E78" s="747"/>
      <c r="F78" s="747"/>
      <c r="G78" s="747"/>
      <c r="H78" s="747"/>
      <c r="I78" s="747"/>
    </row>
    <row r="79" spans="2:9" x14ac:dyDescent="0.25">
      <c r="B79" s="749" t="s">
        <v>681</v>
      </c>
      <c r="C79" s="747"/>
      <c r="D79" s="747"/>
      <c r="E79" s="747"/>
      <c r="F79" s="747"/>
      <c r="G79" s="747"/>
      <c r="H79" s="747"/>
      <c r="I79" s="747"/>
    </row>
    <row r="80" spans="2:9" x14ac:dyDescent="0.25">
      <c r="B80" s="747" t="s">
        <v>606</v>
      </c>
      <c r="C80" s="747"/>
      <c r="D80" s="747"/>
      <c r="E80" s="747"/>
      <c r="F80" s="747"/>
      <c r="G80" s="747"/>
      <c r="H80" s="747"/>
      <c r="I80" s="747"/>
    </row>
    <row r="81" spans="2:9" x14ac:dyDescent="0.25">
      <c r="B81" s="747"/>
      <c r="C81" s="747"/>
      <c r="D81" s="747"/>
      <c r="E81" s="747"/>
      <c r="F81" s="747"/>
      <c r="G81" s="747"/>
      <c r="H81" s="747"/>
      <c r="I81" s="747"/>
    </row>
    <row r="82" spans="2:9" x14ac:dyDescent="0.25">
      <c r="B82" s="747" t="s">
        <v>607</v>
      </c>
      <c r="C82" s="747"/>
      <c r="D82" s="747"/>
      <c r="E82" s="747"/>
      <c r="F82" s="747"/>
      <c r="G82" s="747"/>
      <c r="H82" s="747"/>
      <c r="I82" s="747"/>
    </row>
    <row r="83" spans="2:9" x14ac:dyDescent="0.25">
      <c r="B83" s="747" t="s">
        <v>608</v>
      </c>
      <c r="C83" s="747"/>
      <c r="D83" s="747"/>
      <c r="E83" s="747"/>
      <c r="F83" s="747"/>
      <c r="G83" s="747"/>
      <c r="H83" s="747"/>
      <c r="I83" s="747"/>
    </row>
    <row r="84" spans="2:9" x14ac:dyDescent="0.25">
      <c r="B84" s="747" t="s">
        <v>609</v>
      </c>
      <c r="C84" s="747"/>
      <c r="D84" s="747"/>
      <c r="E84" s="747"/>
      <c r="F84" s="747"/>
      <c r="G84" s="747"/>
      <c r="H84" s="747"/>
      <c r="I84" s="747"/>
    </row>
    <row r="85" spans="2:9" x14ac:dyDescent="0.25">
      <c r="B85" s="747"/>
      <c r="C85" s="747"/>
      <c r="D85" s="747"/>
      <c r="E85" s="747"/>
      <c r="F85" s="747"/>
      <c r="G85" s="747"/>
      <c r="H85" s="747"/>
      <c r="I85" s="747"/>
    </row>
    <row r="86" spans="2:9" x14ac:dyDescent="0.25">
      <c r="B86" s="747" t="s">
        <v>610</v>
      </c>
      <c r="C86" s="747"/>
      <c r="D86" s="747"/>
      <c r="E86" s="747"/>
      <c r="F86" s="747"/>
      <c r="G86" s="747"/>
      <c r="H86" s="747"/>
      <c r="I86" s="747"/>
    </row>
    <row r="87" spans="2:9" x14ac:dyDescent="0.25">
      <c r="B87" s="747" t="s">
        <v>611</v>
      </c>
      <c r="C87" s="747"/>
      <c r="D87" s="747"/>
      <c r="E87" s="747"/>
      <c r="F87" s="747"/>
      <c r="G87" s="747"/>
      <c r="H87" s="747"/>
      <c r="I87" s="747"/>
    </row>
    <row r="88" spans="2:9" x14ac:dyDescent="0.25">
      <c r="B88" s="747" t="s">
        <v>612</v>
      </c>
      <c r="C88" s="747"/>
      <c r="D88" s="747"/>
      <c r="E88" s="747"/>
      <c r="F88" s="747"/>
      <c r="G88" s="747"/>
      <c r="H88" s="747"/>
      <c r="I88" s="747"/>
    </row>
    <row r="89" spans="2:9" x14ac:dyDescent="0.25">
      <c r="B89" s="747"/>
      <c r="C89" s="747"/>
      <c r="D89" s="747"/>
      <c r="E89" s="747"/>
      <c r="F89" s="747"/>
      <c r="G89" s="747"/>
      <c r="H89" s="747"/>
      <c r="I89" s="747"/>
    </row>
    <row r="90" spans="2:9" x14ac:dyDescent="0.25">
      <c r="B90" s="747" t="s">
        <v>682</v>
      </c>
      <c r="C90" s="747"/>
      <c r="D90" s="747"/>
      <c r="E90" s="747"/>
      <c r="F90" s="747"/>
      <c r="G90" s="747"/>
      <c r="H90" s="747"/>
      <c r="I90" s="747"/>
    </row>
    <row r="91" spans="2:9" x14ac:dyDescent="0.25">
      <c r="B91" s="749" t="s">
        <v>683</v>
      </c>
      <c r="C91" s="747"/>
      <c r="D91" s="747"/>
      <c r="E91" s="747"/>
      <c r="F91" s="747"/>
      <c r="G91" s="747"/>
      <c r="H91" s="747"/>
      <c r="I91" s="747"/>
    </row>
    <row r="92" spans="2:9" x14ac:dyDescent="0.25">
      <c r="B92" s="749" t="s">
        <v>684</v>
      </c>
      <c r="C92" s="747"/>
      <c r="D92" s="747"/>
      <c r="E92" s="747"/>
      <c r="F92" s="747"/>
      <c r="G92" s="747"/>
      <c r="H92" s="747"/>
      <c r="I92" s="747"/>
    </row>
    <row r="93" spans="2:9" x14ac:dyDescent="0.25">
      <c r="B93" s="747"/>
      <c r="C93" s="747"/>
      <c r="D93" s="747"/>
      <c r="E93" s="747"/>
      <c r="F93" s="747"/>
      <c r="G93" s="747"/>
      <c r="H93" s="747"/>
      <c r="I93" s="747"/>
    </row>
    <row r="94" spans="2:9" x14ac:dyDescent="0.25">
      <c r="B94" s="747" t="s">
        <v>613</v>
      </c>
      <c r="C94" s="747"/>
      <c r="D94" s="747"/>
      <c r="E94" s="747"/>
      <c r="F94" s="747"/>
      <c r="G94" s="747"/>
      <c r="H94" s="747"/>
      <c r="I94" s="747"/>
    </row>
    <row r="95" spans="2:9" x14ac:dyDescent="0.25">
      <c r="B95" s="747" t="s">
        <v>614</v>
      </c>
      <c r="C95" s="747"/>
      <c r="D95" s="747"/>
      <c r="E95" s="747"/>
      <c r="F95" s="747"/>
      <c r="G95" s="747"/>
      <c r="H95" s="747"/>
      <c r="I95" s="747"/>
    </row>
    <row r="96" spans="2:9" x14ac:dyDescent="0.25">
      <c r="B96" s="747" t="s">
        <v>615</v>
      </c>
      <c r="C96" s="747"/>
      <c r="D96" s="747"/>
      <c r="E96" s="747"/>
      <c r="F96" s="747"/>
      <c r="G96" s="747"/>
      <c r="H96" s="747"/>
      <c r="I96" s="747"/>
    </row>
    <row r="97" spans="2:9" x14ac:dyDescent="0.25">
      <c r="B97" s="747"/>
      <c r="C97" s="747"/>
      <c r="D97" s="747"/>
      <c r="E97" s="747"/>
      <c r="F97" s="747"/>
      <c r="G97" s="747"/>
      <c r="H97" s="747"/>
      <c r="I97" s="747"/>
    </row>
    <row r="98" spans="2:9" x14ac:dyDescent="0.25">
      <c r="B98" s="747" t="s">
        <v>616</v>
      </c>
      <c r="C98" s="747"/>
      <c r="D98" s="747"/>
      <c r="E98" s="747"/>
      <c r="F98" s="747"/>
      <c r="G98" s="747"/>
      <c r="H98" s="747"/>
      <c r="I98" s="747"/>
    </row>
    <row r="99" spans="2:9" x14ac:dyDescent="0.25">
      <c r="B99" s="747" t="s">
        <v>617</v>
      </c>
      <c r="C99" s="747"/>
      <c r="D99" s="747"/>
      <c r="E99" s="747"/>
      <c r="F99" s="747"/>
      <c r="G99" s="747"/>
      <c r="H99" s="747"/>
      <c r="I99" s="747"/>
    </row>
    <row r="100" spans="2:9" x14ac:dyDescent="0.25">
      <c r="B100" s="747" t="s">
        <v>618</v>
      </c>
      <c r="C100" s="747"/>
      <c r="D100" s="747"/>
      <c r="E100" s="747"/>
      <c r="F100" s="747"/>
      <c r="G100" s="747"/>
      <c r="H100" s="747"/>
      <c r="I100" s="747"/>
    </row>
    <row r="101" spans="2:9" x14ac:dyDescent="0.25">
      <c r="B101" s="747"/>
      <c r="C101" s="747"/>
      <c r="D101" s="747"/>
      <c r="E101" s="747"/>
      <c r="F101" s="747"/>
      <c r="G101" s="747"/>
      <c r="H101" s="747"/>
      <c r="I101" s="747"/>
    </row>
    <row r="102" spans="2:9" x14ac:dyDescent="0.25">
      <c r="B102" s="747" t="s">
        <v>619</v>
      </c>
      <c r="C102" s="747"/>
      <c r="D102" s="747"/>
      <c r="E102" s="747"/>
      <c r="F102" s="747"/>
      <c r="G102" s="747"/>
      <c r="H102" s="747"/>
      <c r="I102" s="747"/>
    </row>
    <row r="103" spans="2:9" x14ac:dyDescent="0.25">
      <c r="B103" s="749" t="s">
        <v>685</v>
      </c>
      <c r="C103" s="747"/>
      <c r="D103" s="747"/>
      <c r="E103" s="747"/>
      <c r="F103" s="747"/>
      <c r="G103" s="747"/>
      <c r="H103" s="747"/>
      <c r="I103" s="747"/>
    </row>
    <row r="104" spans="2:9" x14ac:dyDescent="0.25">
      <c r="B104" s="747" t="s">
        <v>620</v>
      </c>
      <c r="C104" s="747"/>
      <c r="D104" s="747"/>
      <c r="E104" s="747"/>
      <c r="F104" s="747"/>
      <c r="G104" s="747"/>
      <c r="H104" s="747"/>
      <c r="I104" s="747"/>
    </row>
    <row r="105" spans="2:9" x14ac:dyDescent="0.25">
      <c r="B105" s="747"/>
      <c r="C105" s="747"/>
      <c r="D105" s="747"/>
      <c r="E105" s="747"/>
      <c r="F105" s="747"/>
      <c r="G105" s="747"/>
      <c r="H105" s="747"/>
      <c r="I105" s="747"/>
    </row>
    <row r="106" spans="2:9" x14ac:dyDescent="0.25">
      <c r="B106" s="747" t="s">
        <v>621</v>
      </c>
      <c r="C106" s="747"/>
      <c r="D106" s="747"/>
      <c r="E106" s="747"/>
      <c r="F106" s="747"/>
      <c r="G106" s="747"/>
      <c r="H106" s="747"/>
      <c r="I106" s="747"/>
    </row>
    <row r="107" spans="2:9" x14ac:dyDescent="0.25">
      <c r="B107" s="747" t="s">
        <v>622</v>
      </c>
      <c r="C107" s="747"/>
      <c r="D107" s="747"/>
      <c r="E107" s="747"/>
      <c r="F107" s="747"/>
      <c r="G107" s="747"/>
      <c r="H107" s="747"/>
      <c r="I107" s="747"/>
    </row>
    <row r="108" spans="2:9" x14ac:dyDescent="0.25">
      <c r="B108" s="747" t="s">
        <v>623</v>
      </c>
      <c r="C108" s="747"/>
      <c r="D108" s="747"/>
      <c r="E108" s="747"/>
      <c r="F108" s="747"/>
      <c r="G108" s="747"/>
      <c r="H108" s="747"/>
      <c r="I108" s="747"/>
    </row>
    <row r="109" spans="2:9" x14ac:dyDescent="0.25">
      <c r="B109" s="747"/>
      <c r="C109" s="747"/>
      <c r="D109" s="747"/>
      <c r="E109" s="747"/>
      <c r="F109" s="747"/>
      <c r="G109" s="747"/>
      <c r="H109" s="747"/>
      <c r="I109" s="747"/>
    </row>
    <row r="110" spans="2:9" x14ac:dyDescent="0.25">
      <c r="B110" s="747" t="s">
        <v>624</v>
      </c>
      <c r="C110" s="747"/>
      <c r="D110" s="747"/>
      <c r="E110" s="747"/>
      <c r="F110" s="747"/>
      <c r="G110" s="747"/>
      <c r="H110" s="747"/>
      <c r="I110" s="747"/>
    </row>
    <row r="111" spans="2:9" x14ac:dyDescent="0.25">
      <c r="B111" s="747" t="s">
        <v>625</v>
      </c>
      <c r="C111" s="747"/>
      <c r="D111" s="747"/>
      <c r="E111" s="747"/>
      <c r="F111" s="747"/>
      <c r="G111" s="747"/>
      <c r="H111" s="747"/>
      <c r="I111" s="747"/>
    </row>
    <row r="112" spans="2:9" x14ac:dyDescent="0.25">
      <c r="B112" s="747" t="s">
        <v>626</v>
      </c>
      <c r="C112" s="747"/>
      <c r="D112" s="747"/>
      <c r="E112" s="747"/>
      <c r="F112" s="747"/>
      <c r="G112" s="747"/>
      <c r="H112" s="747"/>
      <c r="I112" s="747"/>
    </row>
    <row r="113" spans="2:9" x14ac:dyDescent="0.25">
      <c r="B113" s="747"/>
      <c r="C113" s="747"/>
      <c r="D113" s="747"/>
      <c r="E113" s="747"/>
      <c r="F113" s="747"/>
      <c r="G113" s="747"/>
      <c r="H113" s="747"/>
      <c r="I113" s="747"/>
    </row>
    <row r="114" spans="2:9" x14ac:dyDescent="0.25">
      <c r="B114" s="747" t="s">
        <v>627</v>
      </c>
      <c r="C114" s="747"/>
      <c r="D114" s="747"/>
      <c r="E114" s="747"/>
      <c r="F114" s="747"/>
      <c r="G114" s="747"/>
      <c r="H114" s="747"/>
      <c r="I114" s="747"/>
    </row>
    <row r="115" spans="2:9" x14ac:dyDescent="0.25">
      <c r="B115" s="749" t="s">
        <v>686</v>
      </c>
      <c r="C115" s="747"/>
      <c r="D115" s="747"/>
      <c r="E115" s="747"/>
      <c r="F115" s="747"/>
      <c r="G115" s="747"/>
      <c r="H115" s="747"/>
      <c r="I115" s="747"/>
    </row>
    <row r="116" spans="2:9" x14ac:dyDescent="0.25">
      <c r="B116" s="747" t="s">
        <v>628</v>
      </c>
      <c r="C116" s="747"/>
      <c r="D116" s="747"/>
      <c r="E116" s="747"/>
      <c r="F116" s="747"/>
      <c r="G116" s="747"/>
      <c r="H116" s="747"/>
      <c r="I116" s="747"/>
    </row>
    <row r="117" spans="2:9" x14ac:dyDescent="0.25">
      <c r="B117" s="747"/>
      <c r="C117" s="747"/>
      <c r="D117" s="747"/>
      <c r="E117" s="747"/>
      <c r="F117" s="747"/>
      <c r="G117" s="747"/>
      <c r="H117" s="747"/>
      <c r="I117" s="747"/>
    </row>
    <row r="118" spans="2:9" x14ac:dyDescent="0.25">
      <c r="B118" s="747" t="s">
        <v>629</v>
      </c>
      <c r="C118" s="747"/>
      <c r="D118" s="747"/>
      <c r="E118" s="747"/>
      <c r="F118" s="747"/>
      <c r="G118" s="747"/>
      <c r="H118" s="747"/>
      <c r="I118" s="747"/>
    </row>
    <row r="119" spans="2:9" x14ac:dyDescent="0.25">
      <c r="B119" s="747" t="s">
        <v>630</v>
      </c>
      <c r="C119" s="747"/>
      <c r="D119" s="747"/>
      <c r="E119" s="747"/>
      <c r="F119" s="747"/>
      <c r="G119" s="747"/>
      <c r="H119" s="747"/>
      <c r="I119" s="747"/>
    </row>
    <row r="120" spans="2:9" x14ac:dyDescent="0.25">
      <c r="B120" s="747" t="s">
        <v>631</v>
      </c>
      <c r="C120" s="747"/>
      <c r="D120" s="747"/>
      <c r="E120" s="747"/>
      <c r="F120" s="747"/>
      <c r="G120" s="747"/>
      <c r="H120" s="747"/>
      <c r="I120" s="747"/>
    </row>
    <row r="121" spans="2:9" x14ac:dyDescent="0.25">
      <c r="B121" s="747"/>
      <c r="C121" s="747"/>
      <c r="D121" s="747"/>
      <c r="E121" s="747"/>
      <c r="F121" s="747"/>
      <c r="G121" s="747"/>
      <c r="H121" s="747"/>
      <c r="I121" s="747"/>
    </row>
    <row r="122" spans="2:9" x14ac:dyDescent="0.25">
      <c r="B122" s="747" t="s">
        <v>687</v>
      </c>
      <c r="C122" s="747"/>
      <c r="D122" s="747"/>
      <c r="E122" s="747"/>
      <c r="F122" s="747"/>
      <c r="G122" s="747"/>
      <c r="H122" s="747"/>
      <c r="I122" s="747"/>
    </row>
    <row r="123" spans="2:9" x14ac:dyDescent="0.25">
      <c r="B123" s="747" t="s">
        <v>632</v>
      </c>
      <c r="C123" s="747"/>
      <c r="D123" s="747"/>
      <c r="E123" s="747"/>
      <c r="F123" s="747"/>
      <c r="G123" s="747"/>
      <c r="H123" s="747"/>
      <c r="I123" s="747"/>
    </row>
    <row r="124" spans="2:9" x14ac:dyDescent="0.25">
      <c r="B124" s="747" t="s">
        <v>633</v>
      </c>
      <c r="C124" s="747"/>
      <c r="D124" s="747"/>
      <c r="E124" s="747"/>
      <c r="F124" s="747"/>
      <c r="G124" s="747"/>
      <c r="H124" s="747"/>
      <c r="I124" s="747"/>
    </row>
    <row r="125" spans="2:9" x14ac:dyDescent="0.25">
      <c r="B125" s="750"/>
      <c r="C125" s="750"/>
      <c r="D125" s="750"/>
      <c r="E125" s="750"/>
      <c r="F125" s="750"/>
      <c r="G125" s="750"/>
      <c r="H125" s="750"/>
      <c r="I125" s="750"/>
    </row>
    <row r="126" spans="2:9" x14ac:dyDescent="0.25">
      <c r="B126" s="747" t="s">
        <v>634</v>
      </c>
      <c r="C126" s="747"/>
      <c r="D126" s="747"/>
      <c r="E126" s="747"/>
      <c r="F126" s="747"/>
      <c r="G126" s="747"/>
      <c r="H126" s="747"/>
      <c r="I126" s="747"/>
    </row>
    <row r="127" spans="2:9" x14ac:dyDescent="0.25">
      <c r="B127" s="747" t="s">
        <v>635</v>
      </c>
      <c r="C127" s="747"/>
      <c r="D127" s="747"/>
      <c r="E127" s="747"/>
      <c r="F127" s="747"/>
      <c r="G127" s="747"/>
      <c r="H127" s="747"/>
      <c r="I127" s="747"/>
    </row>
    <row r="128" spans="2:9" x14ac:dyDescent="0.25">
      <c r="B128" s="747" t="s">
        <v>636</v>
      </c>
      <c r="C128" s="747"/>
      <c r="D128" s="747"/>
      <c r="E128" s="747"/>
      <c r="F128" s="747"/>
      <c r="G128" s="747"/>
      <c r="H128" s="747"/>
      <c r="I128" s="747"/>
    </row>
    <row r="129" spans="2:9" x14ac:dyDescent="0.25">
      <c r="B129" s="747"/>
      <c r="C129" s="747"/>
      <c r="D129" s="747"/>
      <c r="E129" s="747"/>
      <c r="F129" s="747"/>
      <c r="G129" s="747"/>
      <c r="H129" s="747"/>
      <c r="I129" s="747"/>
    </row>
    <row r="130" spans="2:9" x14ac:dyDescent="0.25">
      <c r="B130" s="747" t="s">
        <v>637</v>
      </c>
      <c r="C130" s="747"/>
      <c r="D130" s="747"/>
      <c r="E130" s="747"/>
      <c r="F130" s="747"/>
      <c r="G130" s="747"/>
      <c r="H130" s="747"/>
      <c r="I130" s="747"/>
    </row>
    <row r="131" spans="2:9" x14ac:dyDescent="0.25">
      <c r="B131" s="747" t="s">
        <v>638</v>
      </c>
      <c r="C131" s="747"/>
      <c r="D131" s="747"/>
      <c r="E131" s="747"/>
      <c r="F131" s="747"/>
      <c r="G131" s="747"/>
      <c r="H131" s="747"/>
      <c r="I131" s="747"/>
    </row>
    <row r="132" spans="2:9" x14ac:dyDescent="0.25">
      <c r="B132" s="747" t="s">
        <v>639</v>
      </c>
      <c r="C132" s="747"/>
      <c r="D132" s="747"/>
      <c r="E132" s="747"/>
      <c r="F132" s="747"/>
      <c r="G132" s="747"/>
      <c r="H132" s="747"/>
      <c r="I132" s="747"/>
    </row>
    <row r="133" spans="2:9" x14ac:dyDescent="0.25">
      <c r="B133" s="747"/>
      <c r="C133" s="747"/>
      <c r="D133" s="747"/>
      <c r="E133" s="747"/>
      <c r="F133" s="747"/>
      <c r="G133" s="747"/>
      <c r="H133" s="747"/>
      <c r="I133" s="747"/>
    </row>
    <row r="134" spans="2:9" x14ac:dyDescent="0.25">
      <c r="B134" s="747" t="s">
        <v>640</v>
      </c>
      <c r="C134" s="747"/>
      <c r="D134" s="747"/>
      <c r="E134" s="747"/>
      <c r="F134" s="747"/>
      <c r="G134" s="747"/>
      <c r="H134" s="747"/>
      <c r="I134" s="747"/>
    </row>
    <row r="135" spans="2:9" x14ac:dyDescent="0.25">
      <c r="B135" s="747" t="s">
        <v>641</v>
      </c>
      <c r="C135" s="747"/>
      <c r="D135" s="747"/>
      <c r="E135" s="747"/>
      <c r="F135" s="747"/>
      <c r="G135" s="747"/>
      <c r="H135" s="747"/>
      <c r="I135" s="747"/>
    </row>
    <row r="136" spans="2:9" x14ac:dyDescent="0.25">
      <c r="B136" s="747" t="s">
        <v>642</v>
      </c>
      <c r="C136" s="747"/>
      <c r="D136" s="747"/>
      <c r="E136" s="747"/>
      <c r="F136" s="747"/>
      <c r="G136" s="747"/>
      <c r="H136" s="747"/>
      <c r="I136" s="747"/>
    </row>
    <row r="137" spans="2:9" x14ac:dyDescent="0.25">
      <c r="B137" s="747"/>
      <c r="C137" s="747"/>
      <c r="D137" s="747"/>
      <c r="E137" s="747"/>
      <c r="F137" s="747"/>
      <c r="G137" s="747"/>
      <c r="H137" s="747"/>
      <c r="I137" s="747"/>
    </row>
    <row r="138" spans="2:9" x14ac:dyDescent="0.25">
      <c r="B138" s="747" t="s">
        <v>643</v>
      </c>
      <c r="C138" s="747"/>
      <c r="D138" s="747"/>
      <c r="E138" s="747"/>
      <c r="F138" s="747"/>
      <c r="G138" s="747"/>
      <c r="H138" s="747"/>
      <c r="I138" s="747"/>
    </row>
    <row r="139" spans="2:9" x14ac:dyDescent="0.25">
      <c r="B139" s="747" t="s">
        <v>644</v>
      </c>
      <c r="C139" s="747"/>
      <c r="D139" s="747"/>
      <c r="E139" s="747"/>
      <c r="F139" s="747"/>
      <c r="G139" s="747"/>
      <c r="H139" s="747"/>
      <c r="I139" s="747"/>
    </row>
    <row r="140" spans="2:9" x14ac:dyDescent="0.25">
      <c r="B140" s="747" t="s">
        <v>645</v>
      </c>
      <c r="C140" s="747"/>
      <c r="D140" s="747"/>
      <c r="E140" s="747"/>
      <c r="F140" s="747"/>
      <c r="G140" s="747"/>
      <c r="H140" s="747"/>
      <c r="I140" s="747"/>
    </row>
    <row r="141" spans="2:9" x14ac:dyDescent="0.25">
      <c r="B141" s="747"/>
      <c r="C141" s="747"/>
      <c r="D141" s="747"/>
      <c r="E141" s="747"/>
      <c r="F141" s="747"/>
      <c r="G141" s="747"/>
      <c r="H141" s="747"/>
      <c r="I141" s="747"/>
    </row>
    <row r="142" spans="2:9" x14ac:dyDescent="0.25">
      <c r="B142" s="747" t="s">
        <v>646</v>
      </c>
      <c r="C142" s="747"/>
      <c r="D142" s="747"/>
      <c r="E142" s="747"/>
      <c r="F142" s="747"/>
      <c r="G142" s="747"/>
      <c r="H142" s="747"/>
      <c r="I142" s="747"/>
    </row>
    <row r="143" spans="2:9" x14ac:dyDescent="0.25">
      <c r="B143" s="747" t="s">
        <v>647</v>
      </c>
      <c r="C143" s="747"/>
      <c r="D143" s="747"/>
      <c r="E143" s="747"/>
      <c r="F143" s="747"/>
      <c r="G143" s="747"/>
      <c r="H143" s="747"/>
      <c r="I143" s="747"/>
    </row>
    <row r="144" spans="2:9" x14ac:dyDescent="0.25">
      <c r="B144" s="747" t="s">
        <v>648</v>
      </c>
      <c r="C144" s="747"/>
      <c r="D144" s="747"/>
      <c r="E144" s="747"/>
      <c r="F144" s="747"/>
      <c r="G144" s="747"/>
      <c r="H144" s="747"/>
      <c r="I144" s="747"/>
    </row>
    <row r="145" spans="2:9" x14ac:dyDescent="0.25">
      <c r="B145" s="747"/>
      <c r="C145" s="747"/>
      <c r="D145" s="747"/>
      <c r="E145" s="747"/>
      <c r="F145" s="747"/>
      <c r="G145" s="747"/>
      <c r="H145" s="747"/>
      <c r="I145" s="747"/>
    </row>
    <row r="146" spans="2:9" x14ac:dyDescent="0.25">
      <c r="B146" s="747" t="s">
        <v>649</v>
      </c>
      <c r="C146" s="747"/>
      <c r="D146" s="747"/>
      <c r="E146" s="747"/>
      <c r="F146" s="747"/>
      <c r="G146" s="747"/>
      <c r="H146" s="747"/>
      <c r="I146" s="747"/>
    </row>
    <row r="147" spans="2:9" x14ac:dyDescent="0.25">
      <c r="B147" s="747" t="s">
        <v>650</v>
      </c>
      <c r="C147" s="747"/>
      <c r="D147" s="747"/>
      <c r="E147" s="747"/>
      <c r="F147" s="747"/>
      <c r="G147" s="747"/>
      <c r="H147" s="747"/>
      <c r="I147" s="747"/>
    </row>
    <row r="148" spans="2:9" x14ac:dyDescent="0.25">
      <c r="B148" s="747" t="s">
        <v>651</v>
      </c>
      <c r="C148" s="747"/>
      <c r="D148" s="747"/>
      <c r="E148" s="747"/>
      <c r="F148" s="747"/>
      <c r="G148" s="747"/>
      <c r="H148" s="747"/>
      <c r="I148" s="747"/>
    </row>
    <row r="149" spans="2:9" x14ac:dyDescent="0.25">
      <c r="B149" s="559"/>
    </row>
    <row r="150" spans="2:9" x14ac:dyDescent="0.25">
      <c r="B150" s="560" t="s">
        <v>652</v>
      </c>
    </row>
    <row r="151" spans="2:9" x14ac:dyDescent="0.25">
      <c r="B151" s="560" t="s">
        <v>653</v>
      </c>
    </row>
    <row r="152" spans="2:9" x14ac:dyDescent="0.25">
      <c r="B152" s="560" t="s">
        <v>654</v>
      </c>
    </row>
    <row r="153" spans="2:9" x14ac:dyDescent="0.25">
      <c r="B153" s="560" t="s">
        <v>655</v>
      </c>
    </row>
  </sheetData>
  <mergeCells count="103">
    <mergeCell ref="B144:I144"/>
    <mergeCell ref="B145:I145"/>
    <mergeCell ref="B146:I146"/>
    <mergeCell ref="B147:I147"/>
    <mergeCell ref="B148:I148"/>
    <mergeCell ref="B139:I139"/>
    <mergeCell ref="B140:I140"/>
    <mergeCell ref="B141:I141"/>
    <mergeCell ref="B142:I142"/>
    <mergeCell ref="B143:I143"/>
    <mergeCell ref="B134:I134"/>
    <mergeCell ref="B135:I135"/>
    <mergeCell ref="B136:I136"/>
    <mergeCell ref="B137:I137"/>
    <mergeCell ref="B138:I138"/>
    <mergeCell ref="B129:I129"/>
    <mergeCell ref="B130:I130"/>
    <mergeCell ref="B131:I131"/>
    <mergeCell ref="B132:I132"/>
    <mergeCell ref="B133:I133"/>
    <mergeCell ref="B124:I124"/>
    <mergeCell ref="B125:I125"/>
    <mergeCell ref="B126:I126"/>
    <mergeCell ref="B127:I127"/>
    <mergeCell ref="B128:I128"/>
    <mergeCell ref="B119:I119"/>
    <mergeCell ref="B120:I120"/>
    <mergeCell ref="B121:I121"/>
    <mergeCell ref="B122:I122"/>
    <mergeCell ref="B123:I123"/>
    <mergeCell ref="B114:I114"/>
    <mergeCell ref="B115:I115"/>
    <mergeCell ref="B116:I116"/>
    <mergeCell ref="B117:I117"/>
    <mergeCell ref="B118:I118"/>
    <mergeCell ref="B109:I109"/>
    <mergeCell ref="B110:I110"/>
    <mergeCell ref="B111:I111"/>
    <mergeCell ref="B112:I112"/>
    <mergeCell ref="B113:I113"/>
    <mergeCell ref="B104:I104"/>
    <mergeCell ref="B105:I105"/>
    <mergeCell ref="B106:I106"/>
    <mergeCell ref="B107:I107"/>
    <mergeCell ref="B108:I108"/>
    <mergeCell ref="B99:I99"/>
    <mergeCell ref="B100:I100"/>
    <mergeCell ref="B101:I101"/>
    <mergeCell ref="B102:I102"/>
    <mergeCell ref="B103:I103"/>
    <mergeCell ref="B94:I94"/>
    <mergeCell ref="B95:I95"/>
    <mergeCell ref="B96:I96"/>
    <mergeCell ref="B97:I97"/>
    <mergeCell ref="B98:I98"/>
    <mergeCell ref="B89:I89"/>
    <mergeCell ref="B90:I90"/>
    <mergeCell ref="B91:I91"/>
    <mergeCell ref="B92:I92"/>
    <mergeCell ref="B93:I93"/>
    <mergeCell ref="B84:I84"/>
    <mergeCell ref="B85:I85"/>
    <mergeCell ref="B86:I86"/>
    <mergeCell ref="B87:I87"/>
    <mergeCell ref="B88:I88"/>
    <mergeCell ref="B79:I79"/>
    <mergeCell ref="B80:I80"/>
    <mergeCell ref="B81:I81"/>
    <mergeCell ref="B82:I82"/>
    <mergeCell ref="B83:I83"/>
    <mergeCell ref="B74:I74"/>
    <mergeCell ref="B75:I75"/>
    <mergeCell ref="B76:I76"/>
    <mergeCell ref="B77:I77"/>
    <mergeCell ref="B78:I78"/>
    <mergeCell ref="B69:I69"/>
    <mergeCell ref="B70:I70"/>
    <mergeCell ref="B71:I71"/>
    <mergeCell ref="B72:I72"/>
    <mergeCell ref="B73:I73"/>
    <mergeCell ref="B64:I64"/>
    <mergeCell ref="B65:I65"/>
    <mergeCell ref="B66:I66"/>
    <mergeCell ref="B67:I67"/>
    <mergeCell ref="B68:I68"/>
    <mergeCell ref="B61:I61"/>
    <mergeCell ref="B62:I62"/>
    <mergeCell ref="B63:I63"/>
    <mergeCell ref="B58:I58"/>
    <mergeCell ref="B59:I59"/>
    <mergeCell ref="B60:I60"/>
    <mergeCell ref="B56:I56"/>
    <mergeCell ref="B57:I57"/>
    <mergeCell ref="B2:E2"/>
    <mergeCell ref="B46:I46"/>
    <mergeCell ref="B47:I47"/>
    <mergeCell ref="B48:I48"/>
    <mergeCell ref="B49:I49"/>
    <mergeCell ref="B50:I50"/>
    <mergeCell ref="B51:I51"/>
    <mergeCell ref="B52:I52"/>
    <mergeCell ref="B54:I54"/>
    <mergeCell ref="B55:I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11</vt:i4>
      </vt:variant>
    </vt:vector>
  </HeadingPairs>
  <TitlesOfParts>
    <vt:vector size="23" baseType="lpstr">
      <vt:lpstr>Resultados</vt:lpstr>
      <vt:lpstr>Resultados divisiones</vt:lpstr>
      <vt:lpstr>Ventas por mercados</vt:lpstr>
      <vt:lpstr>Efecto dólar</vt:lpstr>
      <vt:lpstr>Compras</vt:lpstr>
      <vt:lpstr>Personal</vt:lpstr>
      <vt:lpstr>Costes</vt:lpstr>
      <vt:lpstr>Balance</vt:lpstr>
      <vt:lpstr>Ratios </vt:lpstr>
      <vt:lpstr>CONSOLIDADO 2017 </vt:lpstr>
      <vt:lpstr>Precios</vt:lpstr>
      <vt:lpstr>PLANTILLA ACUMULADA J.C.E. 0,15</vt:lpstr>
      <vt:lpstr>Balance!Área_de_impresión</vt:lpstr>
      <vt:lpstr>Compras!Área_de_impresión</vt:lpstr>
      <vt:lpstr>'CONSOLIDADO 2017 '!Área_de_impresión</vt:lpstr>
      <vt:lpstr>Costes!Área_de_impresión</vt:lpstr>
      <vt:lpstr>'Efecto dólar'!Área_de_impresión</vt:lpstr>
      <vt:lpstr>Personal!Área_de_impresión</vt:lpstr>
      <vt:lpstr>'PLANTILLA ACUMULADA J.C.E. 0,15'!Área_de_impresión</vt:lpstr>
      <vt:lpstr>'Ratios '!Área_de_impresión</vt:lpstr>
      <vt:lpstr>Resultados!Área_de_impresión</vt:lpstr>
      <vt:lpstr>'Resultados divisiones'!Área_de_impresión</vt:lpstr>
      <vt:lpstr>'CONSOLIDADO 2017 '!Títulos_a_imprimir</vt:lpstr>
    </vt:vector>
  </TitlesOfParts>
  <Company>Ercros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Ercros</dc:creator>
  <cp:lastModifiedBy>Conesa Fábregues, Teresa</cp:lastModifiedBy>
  <cp:lastPrinted>2018-02-20T09:15:50Z</cp:lastPrinted>
  <dcterms:created xsi:type="dcterms:W3CDTF">2017-01-11T10:45:12Z</dcterms:created>
  <dcterms:modified xsi:type="dcterms:W3CDTF">2018-03-01T16:19:43Z</dcterms:modified>
</cp:coreProperties>
</file>